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pc\Desktop\INGENIEUR_CENTRALIEN\DATA_ANALYST\CODE_BASICS_BootCamp\EXCEL\Assignments\PROJECT_Excel\"/>
    </mc:Choice>
  </mc:AlternateContent>
  <xr:revisionPtr revIDLastSave="0" documentId="13_ncr:1_{48E04803-2450-45D9-80DA-B03F45AC0C3F}" xr6:coauthVersionLast="47" xr6:coauthVersionMax="47" xr10:uidLastSave="{00000000-0000-0000-0000-000000000000}"/>
  <bookViews>
    <workbookView xWindow="-110" yWindow="-110" windowWidth="19420" windowHeight="11020" activeTab="3" xr2:uid="{7E4259A8-9701-4384-A4DD-05C6B53C3F67}"/>
  </bookViews>
  <sheets>
    <sheet name="Rapport" sheetId="1" r:id="rId1"/>
    <sheet name="Revenue" sheetId="7" r:id="rId2"/>
    <sheet name="Depense" sheetId="8" r:id="rId3"/>
    <sheet name="Dashboard" sheetId="6" r:id="rId4"/>
    <sheet name="charts" sheetId="5" state="hidden" r:id="rId5"/>
  </sheets>
  <externalReferences>
    <externalReference r:id="rId6"/>
  </externalReferences>
  <definedNames>
    <definedName name="_xlcn.WorksheetConnection_My_Finances_With_VBAversion2.xlsmdepense" hidden="1">depense[]</definedName>
    <definedName name="_xlcn.WorksheetConnection_My_Finances_With_VBAversion2.xlsmmaison" hidden="1">maison[]</definedName>
    <definedName name="_xlcn.WorksheetConnection_My_Finances_With_VBAversion2.xlsmnourriture" hidden="1">nourriture[]</definedName>
    <definedName name="_xlcn.WorksheetConnection_My_Finances_With_VBAversion2.xlsmrevenue" hidden="1">revenue[]</definedName>
    <definedName name="_xlcn.WorksheetConnection_My_Finances_With_VBAversion2.xlsmrevenuXYZ" hidden="1">revenuXYZ[]</definedName>
    <definedName name="_xlcn.WorksheetConnection_My_Finances_With_VBAversion2.xlsmTable14" hidden="1">Table14[]</definedName>
    <definedName name="_xlcn.WorksheetConnection_My_Finances_With_VBAversion2.xlsmtransport" hidden="1">transport[]</definedName>
    <definedName name="Slicer_Caegorie">#N/A</definedName>
    <definedName name="Slicer_categorie1">#N/A</definedName>
    <definedName name="Slicer_Date__Month">#N/A</definedName>
    <definedName name="Slicer_Date__Year">#N/A</definedName>
  </definedNames>
  <calcPr calcId="191029"/>
  <pivotCaches>
    <pivotCache cacheId="0" r:id="rId7"/>
    <pivotCache cacheId="1" r:id="rId8"/>
    <pivotCache cacheId="594" r:id="rId9"/>
    <pivotCache cacheId="597" r:id="rId10"/>
    <pivotCache cacheId="600" r:id="rId11"/>
    <pivotCache cacheId="603" r:id="rId12"/>
    <pivotCache cacheId="606" r:id="rId13"/>
    <pivotCache cacheId="609" r:id="rId14"/>
    <pivotCache cacheId="612" r:id="rId15"/>
    <pivotCache cacheId="615" r:id="rId16"/>
    <pivotCache cacheId="618" r:id="rId17"/>
    <pivotCache cacheId="621" r:id="rId18"/>
    <pivotCache cacheId="624" r:id="rId19"/>
    <pivotCache cacheId="628" r:id="rId20"/>
  </pivotCaches>
  <extLst>
    <ext xmlns:x14="http://schemas.microsoft.com/office/spreadsheetml/2009/9/main" uri="{876F7934-8845-4945-9796-88D515C7AA90}">
      <x14:pivotCaches>
        <pivotCache cacheId="593" r:id="rId21"/>
      </x14:pivotCaches>
    </ex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port" name="transport" connection="WorksheetConnection_My_Finances_With_VBA (version 2).xlsm!transport"/>
          <x15:modelTable id="Table14" name="Date" connection="WorksheetConnection_My_Finances_With_VBA (version 2).xlsm!Table14"/>
          <x15:modelTable id="revenuXYZ" name="revenuXYZ" connection="WorksheetConnection_My_Finances_With_VBA (version 2).xlsm!revenuXYZ"/>
          <x15:modelTable id="revenue" name="revenue" connection="WorksheetConnection_My_Finances_With_VBA (version 2).xlsm!revenue"/>
          <x15:modelTable id="nourriture" name="nourriture" connection="WorksheetConnection_My_Finances_With_VBA (version 2).xlsm!nourriture"/>
          <x15:modelTable id="maison" name="maison" connection="WorksheetConnection_My_Finances_With_VBA (version 2).xlsm!maison"/>
          <x15:modelTable id="depense" name="depense" connection="WorksheetConnection_My_Finances_With_VBA (version 2).xlsm!depense"/>
        </x15:modelTables>
        <x15:modelRelationships>
          <x15:modelRelationship fromTable="revenuXYZ" fromColumn="Date" toTable="Date" toColumn="Date"/>
          <x15:modelRelationship fromTable="depense" fromColumn="Date" toTable="Date" toColumn="Date"/>
        </x15:modelRelationships>
        <x15:extLst>
          <ext xmlns:x16="http://schemas.microsoft.com/office/spreadsheetml/2014/11/main" uri="{9835A34E-60A6-4A7C-AAB8-D5F71C897F49}">
            <x16:modelTimeGroupings>
              <x16:modelTimeGrouping tableName="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7" l="1" a="1"/>
  <c r="G5" i="7" s="1"/>
  <c r="G6" i="7" a="1"/>
  <c r="G6" i="7" s="1"/>
  <c r="G7" i="7" a="1"/>
  <c r="G7" i="7"/>
  <c r="G8" i="7" a="1"/>
  <c r="G8" i="7"/>
  <c r="G9" i="7" a="1"/>
  <c r="G9" i="7" s="1"/>
  <c r="G10" i="7" a="1"/>
  <c r="G10" i="7" s="1"/>
  <c r="G11" i="7" a="1"/>
  <c r="G11" i="7"/>
  <c r="G12" i="7" a="1"/>
  <c r="G12" i="7"/>
  <c r="G13" i="7" a="1"/>
  <c r="G13" i="7" s="1"/>
  <c r="G14" i="7" a="1"/>
  <c r="G14" i="7" s="1"/>
  <c r="G15" i="7" a="1"/>
  <c r="G15" i="7"/>
  <c r="G16" i="7" a="1"/>
  <c r="G16" i="7"/>
  <c r="G17" i="7" a="1"/>
  <c r="G17" i="7" s="1"/>
  <c r="G18" i="7" a="1"/>
  <c r="G18" i="7" s="1"/>
  <c r="G19" i="7" a="1"/>
  <c r="G19" i="7"/>
  <c r="G20" i="7" a="1"/>
  <c r="G20" i="7"/>
  <c r="G21" i="7" a="1"/>
  <c r="G21" i="7" s="1"/>
  <c r="G22" i="7" a="1"/>
  <c r="G22" i="7" s="1"/>
  <c r="G23" i="7" a="1"/>
  <c r="G23" i="7"/>
  <c r="G24" i="7" a="1"/>
  <c r="G24" i="7"/>
  <c r="G25" i="7" a="1"/>
  <c r="G25" i="7" s="1"/>
  <c r="G26" i="7" a="1"/>
  <c r="G26" i="7" s="1"/>
  <c r="G27" i="7" a="1"/>
  <c r="G27" i="7"/>
  <c r="G28" i="7" a="1"/>
  <c r="G28" i="7"/>
  <c r="G29" i="7" a="1"/>
  <c r="G29" i="7" s="1"/>
  <c r="G30" i="7" a="1"/>
  <c r="G30" i="7" s="1"/>
  <c r="G31" i="7" a="1"/>
  <c r="G31" i="7"/>
  <c r="G32" i="7" a="1"/>
  <c r="G32" i="7"/>
  <c r="G33" i="7" a="1"/>
  <c r="G33" i="7" s="1"/>
  <c r="G34" i="7" a="1"/>
  <c r="G34" i="7" s="1"/>
  <c r="G35" i="7" a="1"/>
  <c r="G35" i="7"/>
  <c r="G36" i="7" a="1"/>
  <c r="G36" i="7"/>
  <c r="G37" i="7" a="1"/>
  <c r="G37" i="7" s="1"/>
  <c r="G38" i="7" a="1"/>
  <c r="G38" i="7" s="1"/>
  <c r="G39" i="7" a="1"/>
  <c r="G39" i="7"/>
  <c r="G40" i="7" a="1"/>
  <c r="G40" i="7"/>
  <c r="G41" i="7" a="1"/>
  <c r="G41" i="7" s="1"/>
  <c r="G42" i="7" a="1"/>
  <c r="G42" i="7" s="1"/>
  <c r="G43" i="7" a="1"/>
  <c r="G43" i="7"/>
  <c r="G44" i="7" a="1"/>
  <c r="G44" i="7"/>
  <c r="G45" i="7" a="1"/>
  <c r="G45" i="7" s="1"/>
  <c r="G46" i="7" a="1"/>
  <c r="G46" i="7" s="1"/>
  <c r="G47" i="7" a="1"/>
  <c r="G47" i="7"/>
  <c r="G48" i="7" a="1"/>
  <c r="G48" i="7"/>
  <c r="G49" i="7" a="1"/>
  <c r="G49" i="7" s="1"/>
  <c r="G50" i="7" a="1"/>
  <c r="G50" i="7" s="1"/>
  <c r="G51" i="7" a="1"/>
  <c r="G51" i="7"/>
  <c r="G52" i="7" a="1"/>
  <c r="G52" i="7"/>
  <c r="G53" i="7" a="1"/>
  <c r="G53" i="7" s="1"/>
  <c r="G54" i="7" a="1"/>
  <c r="G54" i="7" s="1"/>
  <c r="G55" i="7" a="1"/>
  <c r="G55" i="7"/>
  <c r="G56" i="7" a="1"/>
  <c r="G56" i="7"/>
  <c r="G57" i="7" a="1"/>
  <c r="G57" i="7" s="1"/>
  <c r="G58" i="7" a="1"/>
  <c r="G58" i="7" s="1"/>
  <c r="G51" i="8"/>
  <c r="F59" i="7"/>
  <c r="F51" i="8"/>
  <c r="E59" i="7"/>
  <c r="E89" i="5"/>
  <c r="I3" i="6"/>
  <c r="E3" i="6"/>
  <c r="A3" i="6"/>
  <c r="G138" i="5"/>
  <c r="G139" i="5"/>
  <c r="M3" i="6" l="1"/>
  <c r="N27" i="1"/>
  <c r="N28" i="1"/>
  <c r="N29" i="1"/>
  <c r="N30" i="1"/>
  <c r="M27" i="1"/>
  <c r="M28" i="1"/>
  <c r="M29" i="1"/>
  <c r="M30" i="1"/>
  <c r="L27" i="1"/>
  <c r="L28" i="1"/>
  <c r="L29" i="1"/>
  <c r="L30" i="1"/>
  <c r="K27" i="1"/>
  <c r="K28" i="1"/>
  <c r="K29" i="1"/>
  <c r="K30" i="1"/>
  <c r="J27" i="1"/>
  <c r="J28" i="1"/>
  <c r="J29" i="1"/>
  <c r="J30" i="1"/>
  <c r="I27" i="1"/>
  <c r="I28" i="1"/>
  <c r="I29" i="1"/>
  <c r="I30" i="1"/>
  <c r="H27" i="1"/>
  <c r="H28" i="1"/>
  <c r="H29" i="1"/>
  <c r="H30" i="1"/>
  <c r="G27" i="1"/>
  <c r="G28" i="1"/>
  <c r="G29" i="1"/>
  <c r="G30" i="1"/>
  <c r="F27" i="1"/>
  <c r="F28" i="1"/>
  <c r="F29" i="1"/>
  <c r="F30" i="1"/>
  <c r="E27" i="1"/>
  <c r="E28" i="1"/>
  <c r="E29" i="1"/>
  <c r="E30" i="1"/>
  <c r="D27" i="1"/>
  <c r="D28" i="1"/>
  <c r="D29" i="1"/>
  <c r="D30" i="1"/>
  <c r="C27" i="1"/>
  <c r="C28" i="1"/>
  <c r="C29" i="1"/>
  <c r="C30" i="1"/>
  <c r="C24" i="1"/>
  <c r="N24" i="1"/>
  <c r="N25" i="1"/>
  <c r="M24" i="1"/>
  <c r="M25" i="1"/>
  <c r="L24" i="1"/>
  <c r="L25" i="1"/>
  <c r="K24" i="1"/>
  <c r="K25" i="1"/>
  <c r="J24" i="1"/>
  <c r="J25" i="1"/>
  <c r="I24" i="1"/>
  <c r="I25" i="1"/>
  <c r="H24" i="1"/>
  <c r="H25" i="1"/>
  <c r="G24" i="1"/>
  <c r="G25" i="1"/>
  <c r="F24" i="1"/>
  <c r="F25" i="1"/>
  <c r="E24" i="1"/>
  <c r="E25" i="1"/>
  <c r="D24" i="1"/>
  <c r="D25" i="1"/>
  <c r="C25" i="1"/>
  <c r="C17" i="1"/>
  <c r="N17" i="1"/>
  <c r="N18" i="1"/>
  <c r="N19" i="1"/>
  <c r="N20" i="1"/>
  <c r="N21" i="1"/>
  <c r="N22" i="1"/>
  <c r="M17" i="1"/>
  <c r="M18" i="1"/>
  <c r="M19" i="1"/>
  <c r="M20" i="1"/>
  <c r="M21" i="1"/>
  <c r="M22" i="1"/>
  <c r="L17" i="1"/>
  <c r="L18" i="1"/>
  <c r="L19" i="1"/>
  <c r="L20" i="1"/>
  <c r="L21" i="1"/>
  <c r="L22" i="1"/>
  <c r="K17" i="1"/>
  <c r="K18" i="1"/>
  <c r="K19" i="1"/>
  <c r="K20" i="1"/>
  <c r="K21" i="1"/>
  <c r="K22" i="1"/>
  <c r="J17" i="1"/>
  <c r="J18" i="1"/>
  <c r="J19" i="1"/>
  <c r="J20" i="1"/>
  <c r="J21" i="1"/>
  <c r="J22" i="1"/>
  <c r="I17" i="1"/>
  <c r="I18" i="1"/>
  <c r="I19" i="1"/>
  <c r="I20" i="1"/>
  <c r="I21" i="1"/>
  <c r="I22" i="1"/>
  <c r="H17" i="1"/>
  <c r="H18" i="1"/>
  <c r="H19" i="1"/>
  <c r="H20" i="1"/>
  <c r="H21" i="1"/>
  <c r="H22" i="1"/>
  <c r="G17" i="1"/>
  <c r="G18" i="1"/>
  <c r="G19" i="1"/>
  <c r="G20" i="1"/>
  <c r="G21" i="1"/>
  <c r="G22" i="1"/>
  <c r="F17" i="1"/>
  <c r="F18" i="1"/>
  <c r="F19" i="1"/>
  <c r="F20" i="1"/>
  <c r="F21" i="1"/>
  <c r="F22" i="1"/>
  <c r="E17" i="1"/>
  <c r="E18" i="1"/>
  <c r="E19" i="1"/>
  <c r="E20" i="1"/>
  <c r="E21" i="1"/>
  <c r="E22" i="1"/>
  <c r="D17" i="1"/>
  <c r="D18" i="1"/>
  <c r="D19" i="1"/>
  <c r="D20" i="1"/>
  <c r="D21" i="1"/>
  <c r="D22" i="1"/>
  <c r="C18" i="1"/>
  <c r="C19" i="1"/>
  <c r="C20" i="1"/>
  <c r="C21" i="1"/>
  <c r="C22" i="1"/>
  <c r="C7" i="1"/>
  <c r="C8" i="1"/>
  <c r="N10" i="1"/>
  <c r="M10" i="1"/>
  <c r="L10" i="1"/>
  <c r="K10" i="1"/>
  <c r="J10" i="1"/>
  <c r="I10" i="1"/>
  <c r="H10" i="1"/>
  <c r="G10" i="1"/>
  <c r="F10" i="1"/>
  <c r="E10" i="1"/>
  <c r="D10" i="1"/>
  <c r="C10" i="1"/>
  <c r="J31" i="1" l="1"/>
  <c r="N31" i="1"/>
  <c r="L31" i="1"/>
  <c r="K31" i="1"/>
  <c r="M31" i="1"/>
  <c r="I31" i="1"/>
  <c r="I7" i="1"/>
  <c r="G7" i="1"/>
  <c r="M7" i="1"/>
  <c r="N7" i="1"/>
  <c r="E7" i="1"/>
  <c r="K7" i="1"/>
  <c r="C9" i="1"/>
  <c r="D9" i="1"/>
  <c r="F9" i="1"/>
  <c r="H9" i="1"/>
  <c r="J9" i="1"/>
  <c r="L9" i="1"/>
  <c r="N9" i="1"/>
  <c r="D8" i="1"/>
  <c r="F8" i="1"/>
  <c r="H8" i="1"/>
  <c r="J8" i="1"/>
  <c r="L8" i="1"/>
  <c r="N8" i="1"/>
  <c r="D7" i="1"/>
  <c r="F7" i="1"/>
  <c r="H7" i="1"/>
  <c r="J7" i="1"/>
  <c r="L7" i="1"/>
  <c r="E9" i="1"/>
  <c r="G9" i="1"/>
  <c r="I9" i="1"/>
  <c r="K9" i="1"/>
  <c r="M9" i="1"/>
  <c r="E8" i="1"/>
  <c r="G8" i="1"/>
  <c r="I8" i="1"/>
  <c r="K8" i="1"/>
  <c r="M8" i="1"/>
  <c r="O27" i="1"/>
  <c r="O28" i="1"/>
  <c r="O29" i="1"/>
  <c r="O30" i="1"/>
  <c r="O24" i="1"/>
  <c r="O25" i="1"/>
  <c r="O17" i="1"/>
  <c r="O18" i="1"/>
  <c r="O19" i="1"/>
  <c r="O20" i="1"/>
  <c r="O21" i="1"/>
  <c r="O22" i="1"/>
  <c r="D31" i="1"/>
  <c r="E31" i="1"/>
  <c r="F31" i="1"/>
  <c r="G31" i="1"/>
  <c r="H31" i="1"/>
  <c r="C31" i="1"/>
  <c r="O10" i="1"/>
  <c r="L11" i="1" l="1"/>
  <c r="L33" i="1" s="1"/>
  <c r="K11" i="1"/>
  <c r="N11" i="1"/>
  <c r="N33" i="1" s="1"/>
  <c r="M11" i="1"/>
  <c r="M33" i="1" s="1"/>
  <c r="C11" i="1"/>
  <c r="C33" i="1" s="1"/>
  <c r="I11" i="1"/>
  <c r="I33" i="1" s="1"/>
  <c r="G11" i="1"/>
  <c r="G33" i="1" s="1"/>
  <c r="E11" i="1"/>
  <c r="E33" i="1" s="1"/>
  <c r="H11" i="1"/>
  <c r="H33" i="1" s="1"/>
  <c r="D11" i="1"/>
  <c r="D33" i="1" s="1"/>
  <c r="O9" i="1"/>
  <c r="O7" i="1"/>
  <c r="J11" i="1"/>
  <c r="J33" i="1" s="1"/>
  <c r="K33" i="1"/>
  <c r="F11" i="1"/>
  <c r="F33" i="1" s="1"/>
  <c r="O8" i="1"/>
  <c r="O31" i="1"/>
  <c r="O11" i="1" l="1"/>
  <c r="O3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7B1B2D-F65A-4226-AFAB-3D604882B0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3D9AB22-CF2F-4043-A78B-2C9D318A8983}" name="WorksheetConnection_My_Finances_With_VBA (version 2).xlsm!depense" type="102" refreshedVersion="8" minRefreshableVersion="5">
    <extLst>
      <ext xmlns:x15="http://schemas.microsoft.com/office/spreadsheetml/2010/11/main" uri="{DE250136-89BD-433C-8126-D09CA5730AF9}">
        <x15:connection id="depense">
          <x15:rangePr sourceName="_xlcn.WorksheetConnection_My_Finances_With_VBAversion2.xlsmdepense"/>
        </x15:connection>
      </ext>
    </extLst>
  </connection>
  <connection id="3" xr16:uid="{BEB93E71-9237-43F2-B3ED-CCFFBB7B49C0}" name="WorksheetConnection_My_Finances_With_VBA (version 2).xlsm!maison" type="102" refreshedVersion="8" minRefreshableVersion="5">
    <extLst>
      <ext xmlns:x15="http://schemas.microsoft.com/office/spreadsheetml/2010/11/main" uri="{DE250136-89BD-433C-8126-D09CA5730AF9}">
        <x15:connection id="maison">
          <x15:rangePr sourceName="_xlcn.WorksheetConnection_My_Finances_With_VBAversion2.xlsmmaison"/>
        </x15:connection>
      </ext>
    </extLst>
  </connection>
  <connection id="4" xr16:uid="{DD1503B5-147B-42B5-BAFE-A382A9F8DE62}" name="WorksheetConnection_My_Finances_With_VBA (version 2).xlsm!nourriture" type="102" refreshedVersion="8" minRefreshableVersion="5">
    <extLst>
      <ext xmlns:x15="http://schemas.microsoft.com/office/spreadsheetml/2010/11/main" uri="{DE250136-89BD-433C-8126-D09CA5730AF9}">
        <x15:connection id="nourriture">
          <x15:rangePr sourceName="_xlcn.WorksheetConnection_My_Finances_With_VBAversion2.xlsmnourriture"/>
        </x15:connection>
      </ext>
    </extLst>
  </connection>
  <connection id="5" xr16:uid="{17BF3263-4817-46E7-BB4A-76323A8CE5AC}" name="WorksheetConnection_My_Finances_With_VBA (version 2).xlsm!revenue" type="102" refreshedVersion="8" minRefreshableVersion="5">
    <extLst>
      <ext xmlns:x15="http://schemas.microsoft.com/office/spreadsheetml/2010/11/main" uri="{DE250136-89BD-433C-8126-D09CA5730AF9}">
        <x15:connection id="revenue">
          <x15:rangePr sourceName="_xlcn.WorksheetConnection_My_Finances_With_VBAversion2.xlsmrevenue"/>
        </x15:connection>
      </ext>
    </extLst>
  </connection>
  <connection id="6" xr16:uid="{45E2AF30-3EE9-4BE9-9D84-BFA2C0602A4C}" name="WorksheetConnection_My_Finances_With_VBA (version 2).xlsm!revenuXYZ" type="102" refreshedVersion="8" minRefreshableVersion="5">
    <extLst>
      <ext xmlns:x15="http://schemas.microsoft.com/office/spreadsheetml/2010/11/main" uri="{DE250136-89BD-433C-8126-D09CA5730AF9}">
        <x15:connection id="revenuXYZ">
          <x15:rangePr sourceName="_xlcn.WorksheetConnection_My_Finances_With_VBAversion2.xlsmrevenuXYZ"/>
        </x15:connection>
      </ext>
    </extLst>
  </connection>
  <connection id="7" xr16:uid="{BDB88597-246C-4B98-9803-B7BE1D2CFA24}" name="WorksheetConnection_My_Finances_With_VBA (version 2).xlsm!Table14" type="102" refreshedVersion="8" minRefreshableVersion="5">
    <extLst>
      <ext xmlns:x15="http://schemas.microsoft.com/office/spreadsheetml/2010/11/main" uri="{DE250136-89BD-433C-8126-D09CA5730AF9}">
        <x15:connection id="Table14">
          <x15:rangePr sourceName="_xlcn.WorksheetConnection_My_Finances_With_VBAversion2.xlsmTable14"/>
        </x15:connection>
      </ext>
    </extLst>
  </connection>
  <connection id="8" xr16:uid="{EDA67434-02AF-4634-9C6E-4D6044F79F77}" name="WorksheetConnection_My_Finances_With_VBA (version 2).xlsm!transport" type="102" refreshedVersion="8" minRefreshableVersion="5">
    <extLst>
      <ext xmlns:x15="http://schemas.microsoft.com/office/spreadsheetml/2010/11/main" uri="{DE250136-89BD-433C-8126-D09CA5730AF9}">
        <x15:connection id="transport">
          <x15:rangePr sourceName="_xlcn.WorksheetConnection_My_Finances_With_VBAversion2.xlsmtransport"/>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<sst xmlns="http://schemas.openxmlformats.org/spreadsheetml/2006/main" count="451" uniqueCount="182">
  <si>
    <t>Suivi des revenus et Dépenses personnels</t>
  </si>
  <si>
    <t>Objectif mensuel d'épargne</t>
  </si>
  <si>
    <t>Revenu</t>
  </si>
  <si>
    <t>Elements</t>
  </si>
  <si>
    <t>Janv.</t>
  </si>
  <si>
    <t>Fev.</t>
  </si>
  <si>
    <t>Mars.</t>
  </si>
  <si>
    <t>Mai</t>
  </si>
  <si>
    <t>Juin</t>
  </si>
  <si>
    <t>Juillet</t>
  </si>
  <si>
    <t>Aout</t>
  </si>
  <si>
    <t>Sept.</t>
  </si>
  <si>
    <t>Oct.</t>
  </si>
  <si>
    <t>Nov.</t>
  </si>
  <si>
    <t>Avril</t>
  </si>
  <si>
    <t>Dec</t>
  </si>
  <si>
    <t>Year to Date</t>
  </si>
  <si>
    <t>Salaire</t>
  </si>
  <si>
    <t>Freelancing</t>
  </si>
  <si>
    <t>Autres</t>
  </si>
  <si>
    <t>Dépenses</t>
  </si>
  <si>
    <t>Loyer</t>
  </si>
  <si>
    <t>Nourriture</t>
  </si>
  <si>
    <t>Transport</t>
  </si>
  <si>
    <t>Maison</t>
  </si>
  <si>
    <t>Total</t>
  </si>
  <si>
    <t>Gaz</t>
  </si>
  <si>
    <t>Eau</t>
  </si>
  <si>
    <t>Carburant</t>
  </si>
  <si>
    <t>Bus/taxi/train/avion</t>
  </si>
  <si>
    <t>maintenance</t>
  </si>
  <si>
    <t>Epargne / Deficit</t>
  </si>
  <si>
    <t>Date</t>
  </si>
  <si>
    <t>categorie</t>
  </si>
  <si>
    <t>Description</t>
  </si>
  <si>
    <t>montant</t>
  </si>
  <si>
    <t>Don</t>
  </si>
  <si>
    <t>Caegorie</t>
  </si>
  <si>
    <t>Dime</t>
  </si>
  <si>
    <t>Internet</t>
  </si>
  <si>
    <t>Reste</t>
  </si>
  <si>
    <t>Offrande</t>
  </si>
  <si>
    <t>Row Labels</t>
  </si>
  <si>
    <t>Grand Total</t>
  </si>
  <si>
    <t>Sum of Amount</t>
  </si>
  <si>
    <t>Accessoires</t>
  </si>
  <si>
    <t>Accessoire</t>
  </si>
  <si>
    <t>(blank)</t>
  </si>
  <si>
    <t>les depenses</t>
  </si>
  <si>
    <t>montant_CFA</t>
  </si>
  <si>
    <t>Difference</t>
  </si>
  <si>
    <t>mois</t>
  </si>
  <si>
    <t>Autre</t>
  </si>
  <si>
    <t>source</t>
  </si>
  <si>
    <t>Banque</t>
  </si>
  <si>
    <t>Portefeuille</t>
  </si>
  <si>
    <t>Nourriture externe</t>
  </si>
  <si>
    <t>Nourriture interne</t>
  </si>
  <si>
    <t xml:space="preserve">Don venant d'un Ami de longue Date </t>
  </si>
  <si>
    <t>free</t>
  </si>
  <si>
    <t>Salaire mensuel</t>
  </si>
  <si>
    <t>jdsjb</t>
  </si>
  <si>
    <t>Don venant d un Ami de longue date</t>
  </si>
  <si>
    <t xml:space="preserve">Don venant d'una maman de l'église </t>
  </si>
  <si>
    <t>nnnnnnnnn</t>
  </si>
  <si>
    <t>ddddddddd</t>
  </si>
  <si>
    <t>freeeee</t>
  </si>
  <si>
    <t>gvgv</t>
  </si>
  <si>
    <t>hbhbh</t>
  </si>
  <si>
    <t>kewgiwg</t>
  </si>
  <si>
    <t>wfewgjbrg</t>
  </si>
  <si>
    <t>kndsg</t>
  </si>
  <si>
    <t>kjdsb</t>
  </si>
  <si>
    <t>adfjbf</t>
  </si>
  <si>
    <t>bbbbbbbbb</t>
  </si>
  <si>
    <t>kkkkkkkkkkkkkkkkkkkakpeu</t>
  </si>
  <si>
    <t>GOOD</t>
  </si>
  <si>
    <t>YES</t>
  </si>
  <si>
    <t>SALAIRE</t>
  </si>
  <si>
    <t>Electricite</t>
  </si>
  <si>
    <t>Internet &amp; Phone</t>
  </si>
  <si>
    <t>un carte de Recharge</t>
  </si>
  <si>
    <t>EAU</t>
  </si>
  <si>
    <t>rgkegk</t>
  </si>
  <si>
    <t>NNNNNNNNNNNNNNN</t>
  </si>
  <si>
    <t>BBBBBBBBBBBBBBBB</t>
  </si>
  <si>
    <t>LOYERRR</t>
  </si>
  <si>
    <t>Personnal Finance Dashboard</t>
  </si>
  <si>
    <t>Revenue</t>
  </si>
  <si>
    <t>Epargne</t>
  </si>
  <si>
    <t>Sum of montant</t>
  </si>
  <si>
    <t>ELEC</t>
  </si>
  <si>
    <t>juil</t>
  </si>
  <si>
    <t>TotalRevenue</t>
  </si>
  <si>
    <t>TotalDepense</t>
  </si>
  <si>
    <t>TotalReste</t>
  </si>
  <si>
    <t>W 27</t>
  </si>
  <si>
    <t>W 28</t>
  </si>
  <si>
    <t>W 29</t>
  </si>
  <si>
    <t>W 30</t>
  </si>
  <si>
    <t>Depense</t>
  </si>
  <si>
    <t>Loyer du Mois de Janvier</t>
  </si>
  <si>
    <t>Facture d'Electricite Janvier</t>
  </si>
  <si>
    <t>Changement de la bouteille de Gaz Janvier</t>
  </si>
  <si>
    <t>Facture d'eau Mois de janvier</t>
  </si>
  <si>
    <t>Abonnement Inwi</t>
  </si>
  <si>
    <t>Quelques vetement de plus</t>
  </si>
  <si>
    <t>Quelques éléments pour entretien de la maison</t>
  </si>
  <si>
    <t xml:space="preserve"> riz pour le mois de Jan</t>
  </si>
  <si>
    <t xml:space="preserve">Huile </t>
  </si>
  <si>
    <t>Viande et proteine</t>
  </si>
  <si>
    <t>Restaurant avec un Ami</t>
  </si>
  <si>
    <t>Pour aller au Restaurant avec un Ami</t>
  </si>
  <si>
    <t>Maintenance de mon Véhicule</t>
  </si>
  <si>
    <t>Loyer du mois de Février</t>
  </si>
  <si>
    <t>Fevrier elec</t>
  </si>
  <si>
    <t>Mois</t>
  </si>
  <si>
    <t>Average of montant</t>
  </si>
  <si>
    <t>Internet &amp; phone</t>
  </si>
  <si>
    <t>GAZ</t>
  </si>
  <si>
    <t>Internet Fevrier</t>
  </si>
  <si>
    <t>Loyer Fevrier</t>
  </si>
  <si>
    <t>Elec Mars</t>
  </si>
  <si>
    <t>Gas Mars</t>
  </si>
  <si>
    <t>Inwi</t>
  </si>
  <si>
    <t>Chaussures</t>
  </si>
  <si>
    <t>RIZ</t>
  </si>
  <si>
    <t>Sortie touristique a Rabat</t>
  </si>
  <si>
    <t>Diesel</t>
  </si>
  <si>
    <t>transport pour aller a Rabat</t>
  </si>
  <si>
    <t>Une maintenance mesuelle</t>
  </si>
  <si>
    <t>Loyer Avril</t>
  </si>
  <si>
    <t>Loyer a augmenté</t>
  </si>
  <si>
    <t>loyer 5</t>
  </si>
  <si>
    <t>ok loyer</t>
  </si>
  <si>
    <t>Changement de location</t>
  </si>
  <si>
    <t>Loyer Novembre</t>
  </si>
  <si>
    <t>Decembre rent</t>
  </si>
  <si>
    <t>TEST</t>
  </si>
  <si>
    <t>vetements</t>
  </si>
  <si>
    <t>Salaire Novembre</t>
  </si>
  <si>
    <t xml:space="preserve">Facture electricité </t>
  </si>
  <si>
    <t>Don venant d'une personne</t>
  </si>
  <si>
    <t>ID</t>
  </si>
  <si>
    <t>C:\Users\pc\AppData\Roaming\Microsoft\Excel\My_Personal_Finances_With_VBA (version 1).xlsb</t>
  </si>
  <si>
    <t>janv</t>
  </si>
  <si>
    <t>W 1</t>
  </si>
  <si>
    <t>W 2</t>
  </si>
  <si>
    <t>W 3</t>
  </si>
  <si>
    <t>W 4</t>
  </si>
  <si>
    <t>févr</t>
  </si>
  <si>
    <t>W 5</t>
  </si>
  <si>
    <t>W 6</t>
  </si>
  <si>
    <t>W 8</t>
  </si>
  <si>
    <t>W 9</t>
  </si>
  <si>
    <t>mars</t>
  </si>
  <si>
    <t>W 10</t>
  </si>
  <si>
    <t>W 11</t>
  </si>
  <si>
    <t>W 12</t>
  </si>
  <si>
    <t>avr</t>
  </si>
  <si>
    <t>W 14</t>
  </si>
  <si>
    <t>W 17</t>
  </si>
  <si>
    <t>mai</t>
  </si>
  <si>
    <t>W 18</t>
  </si>
  <si>
    <t>W 21</t>
  </si>
  <si>
    <t>juin</t>
  </si>
  <si>
    <t>W 23</t>
  </si>
  <si>
    <t>W 24</t>
  </si>
  <si>
    <t>août</t>
  </si>
  <si>
    <t>W 31</t>
  </si>
  <si>
    <t>W 32</t>
  </si>
  <si>
    <t>W 35</t>
  </si>
  <si>
    <t>sept</t>
  </si>
  <si>
    <t>W 36</t>
  </si>
  <si>
    <t>W 39</t>
  </si>
  <si>
    <t>oct</t>
  </si>
  <si>
    <t>W 40</t>
  </si>
  <si>
    <t>W 41</t>
  </si>
  <si>
    <t>nov</t>
  </si>
  <si>
    <t>W 44</t>
  </si>
  <si>
    <t>déc</t>
  </si>
  <si>
    <t>W 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</si>
</sst>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CFA-300C]_-;\-* #,##0.00\ [$CFA-300C]_-;_-* &quot;-&quot;??\ [$CFA-300C]_-;_-@_-"/>
    <numFmt numFmtId="165" formatCode="_-* #,##0.0\ [$MAD-45F]_-;\-* #,##0.0\ [$MAD-45F]_-;_-* &quot;-&quot;??\ [$MAD-45F]_-;_-@_-"/>
    <numFmt numFmtId="166" formatCode="_-* #,##0\ [$FCFA-2C0C]_-;\-* #,##0\ [$FCFA-2C0C]_-;_-* &quot;-&quot;??\ [$FCFA-2C0C]_-;_-@_-"/>
    <numFmt numFmtId="167" formatCode="_-* #,##0.0[$MAD]_-;\-* #,##0.0[$MAD]_-;_-* &quot;-&quot;??[$MAD]_-;_-@_-" x16r2:formatCode16="_-* #,##0.0[$MAD-zgh-Tfng-MA]_-;\-* #,##0.0[$MAD-zgh-Tfng-MA]_-;_-* &quot;-&quot;??[$MAD-zgh-Tfng-MA]_-;_-@_-"/>
  </numFmts>
  <fonts count="15" x14ac:knownFonts="1">
    <font>
      <sz val="11"/>
      <color theme="1"/>
      <name val="Aptos Narrow"/>
      <family val="2"/>
      <scheme val="minor"/>
    </font>
    <font>
      <sz val="14"/>
      <color theme="1"/>
      <name val="Aptos Narrow"/>
      <family val="2"/>
      <scheme val="minor"/>
    </font>
    <font>
      <sz val="16"/>
      <color theme="1"/>
      <name val="Aptos Narrow"/>
      <family val="2"/>
      <scheme val="minor"/>
    </font>
    <font>
      <sz val="14"/>
      <color theme="0"/>
      <name val="Aptos Narrow"/>
      <family val="2"/>
      <scheme val="minor"/>
    </font>
    <font>
      <b/>
      <sz val="16"/>
      <color theme="1"/>
      <name val="Aptos Narrow"/>
      <family val="2"/>
      <scheme val="minor"/>
    </font>
    <font>
      <b/>
      <sz val="14"/>
      <color theme="1"/>
      <name val="Aptos Narrow"/>
      <family val="2"/>
      <scheme val="minor"/>
    </font>
    <font>
      <sz val="8"/>
      <name val="Aptos Narrow"/>
      <family val="2"/>
      <scheme val="minor"/>
    </font>
    <font>
      <sz val="11"/>
      <color rgb="FFFF9900"/>
      <name val="Agency FB"/>
      <family val="2"/>
    </font>
    <font>
      <b/>
      <sz val="48"/>
      <color rgb="FFFF9900"/>
      <name val="Agency FB"/>
      <family val="2"/>
    </font>
    <font>
      <sz val="14"/>
      <color theme="1"/>
      <name val="Agency FB"/>
      <family val="2"/>
    </font>
    <font>
      <b/>
      <sz val="18"/>
      <color theme="1"/>
      <name val="Agency FB"/>
      <family val="2"/>
    </font>
    <font>
      <sz val="12"/>
      <color theme="1"/>
      <name val="Aptos Narrow"/>
      <family val="2"/>
      <scheme val="minor"/>
    </font>
    <font>
      <sz val="18"/>
      <color rgb="FF000000"/>
      <name val="Agency FB"/>
      <family val="2"/>
    </font>
    <font>
      <sz val="11"/>
      <color rgb="FF000000"/>
      <name val="Aptos Narrow"/>
      <family val="2"/>
    </font>
    <font>
      <b/>
      <sz val="11"/>
      <color rgb="FF000000"/>
      <name val="Aptos Narrow"/>
      <family val="2"/>
    </font>
  </fonts>
  <fills count="8">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499984740745262"/>
        <bgColor indexed="64"/>
      </patternFill>
    </fill>
  </fills>
  <borders count="30">
    <border>
      <left/>
      <right/>
      <top/>
      <bottom/>
      <diagonal/>
    </border>
    <border>
      <left style="thin">
        <color theme="0"/>
      </left>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style="thick">
        <color theme="1"/>
      </left>
      <right/>
      <top/>
      <bottom/>
      <diagonal/>
    </border>
    <border>
      <left/>
      <right/>
      <top style="thick">
        <color theme="1"/>
      </top>
      <bottom/>
      <diagonal/>
    </border>
    <border>
      <left style="thick">
        <color theme="1"/>
      </left>
      <right/>
      <top style="thick">
        <color theme="1"/>
      </top>
      <bottom style="thick">
        <color theme="1"/>
      </bottom>
      <diagonal/>
    </border>
    <border>
      <left/>
      <right/>
      <top style="thick">
        <color theme="1"/>
      </top>
      <bottom style="thick">
        <color theme="1"/>
      </bottom>
      <diagonal/>
    </border>
    <border>
      <left/>
      <right style="thick">
        <color theme="1"/>
      </right>
      <top style="thick">
        <color theme="1"/>
      </top>
      <bottom style="thick">
        <color theme="1"/>
      </bottom>
      <diagonal/>
    </border>
    <border>
      <left/>
      <right/>
      <top style="thin">
        <color indexed="64"/>
      </top>
      <bottom/>
      <diagonal/>
    </border>
    <border>
      <left style="thick">
        <color theme="1"/>
      </left>
      <right/>
      <top style="thick">
        <color theme="1"/>
      </top>
      <bottom/>
      <diagonal/>
    </border>
    <border>
      <left/>
      <right style="thick">
        <color theme="1"/>
      </right>
      <top style="thick">
        <color theme="1"/>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68">
    <xf numFmtId="0" fontId="0" fillId="0" borderId="0" xfId="0"/>
    <xf numFmtId="0" fontId="1" fillId="0" borderId="0" xfId="0" applyFont="1"/>
    <xf numFmtId="0" fontId="0" fillId="0" borderId="1" xfId="0" applyBorder="1"/>
    <xf numFmtId="0" fontId="3" fillId="5" borderId="2" xfId="0" applyFont="1" applyFill="1" applyBorder="1"/>
    <xf numFmtId="0" fontId="3" fillId="5" borderId="3" xfId="0" applyFont="1" applyFill="1" applyBorder="1"/>
    <xf numFmtId="0" fontId="3" fillId="5" borderId="4" xfId="0" applyFont="1" applyFill="1" applyBorder="1"/>
    <xf numFmtId="0" fontId="0" fillId="0" borderId="5" xfId="0" applyBorder="1"/>
    <xf numFmtId="0" fontId="4" fillId="0" borderId="8" xfId="0" applyFont="1" applyBorder="1"/>
    <xf numFmtId="0" fontId="4" fillId="0" borderId="9" xfId="0" applyFont="1" applyBorder="1"/>
    <xf numFmtId="0" fontId="4" fillId="0" borderId="7" xfId="0" applyFont="1" applyBorder="1"/>
    <xf numFmtId="0" fontId="2" fillId="0" borderId="0" xfId="0" applyFont="1"/>
    <xf numFmtId="0" fontId="1" fillId="2" borderId="0" xfId="0" applyFont="1" applyFill="1" applyAlignment="1">
      <alignment vertical="center"/>
    </xf>
    <xf numFmtId="0" fontId="1" fillId="2" borderId="8" xfId="0" applyFont="1" applyFill="1" applyBorder="1" applyAlignment="1">
      <alignment vertical="center"/>
    </xf>
    <xf numFmtId="0" fontId="1" fillId="2" borderId="7" xfId="0" applyFont="1" applyFill="1" applyBorder="1" applyAlignment="1">
      <alignment vertical="center"/>
    </xf>
    <xf numFmtId="0" fontId="1" fillId="2" borderId="9" xfId="0" applyFont="1" applyFill="1" applyBorder="1" applyAlignment="1">
      <alignment vertical="center"/>
    </xf>
    <xf numFmtId="16" fontId="0" fillId="0" borderId="0" xfId="0" applyNumberFormat="1"/>
    <xf numFmtId="0" fontId="0" fillId="0" borderId="0" xfId="0" pivotButton="1"/>
    <xf numFmtId="0" fontId="0" fillId="0" borderId="0" xfId="0" applyAlignment="1">
      <alignment horizontal="left"/>
    </xf>
    <xf numFmtId="0" fontId="5" fillId="0" borderId="0" xfId="0" applyFont="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1" fontId="0" fillId="0" borderId="0" xfId="0" applyNumberFormat="1" applyAlignment="1">
      <alignment horizontal="left"/>
    </xf>
    <xf numFmtId="0" fontId="0" fillId="0" borderId="0" xfId="0" applyAlignment="1">
      <alignment horizontal="left" indent="1"/>
    </xf>
    <xf numFmtId="16" fontId="11" fillId="0" borderId="0" xfId="0" applyNumberFormat="1" applyFont="1" applyAlignment="1">
      <alignment horizontal="center"/>
    </xf>
    <xf numFmtId="0" fontId="11" fillId="5" borderId="0" xfId="0" applyFont="1" applyFill="1" applyAlignment="1">
      <alignment horizontal="center"/>
    </xf>
    <xf numFmtId="0" fontId="11" fillId="5" borderId="0" xfId="0" applyFont="1" applyFill="1" applyAlignment="1">
      <alignment horizontal="center" vertical="center"/>
    </xf>
    <xf numFmtId="0" fontId="11" fillId="5" borderId="0" xfId="0" applyFont="1" applyFill="1" applyAlignment="1">
      <alignment horizontal="left"/>
    </xf>
    <xf numFmtId="1" fontId="11" fillId="0" borderId="0" xfId="0" applyNumberFormat="1" applyFont="1" applyAlignment="1">
      <alignment horizontal="center"/>
    </xf>
    <xf numFmtId="0" fontId="11" fillId="0" borderId="0" xfId="0" applyFont="1" applyAlignment="1">
      <alignment horizontal="center"/>
    </xf>
    <xf numFmtId="0" fontId="11" fillId="0" borderId="0" xfId="0" applyFont="1"/>
    <xf numFmtId="164" fontId="11" fillId="0" borderId="0" xfId="0" applyNumberFormat="1" applyFont="1"/>
    <xf numFmtId="167" fontId="11" fillId="0" borderId="0" xfId="0" applyNumberFormat="1" applyFont="1"/>
    <xf numFmtId="166" fontId="11" fillId="0" borderId="0" xfId="0" applyNumberFormat="1" applyFont="1"/>
    <xf numFmtId="165" fontId="11" fillId="0" borderId="0" xfId="0" applyNumberFormat="1" applyFont="1"/>
    <xf numFmtId="0" fontId="11" fillId="5" borderId="0" xfId="0" applyFont="1" applyFill="1"/>
    <xf numFmtId="16" fontId="0" fillId="0" borderId="0" xfId="0" applyNumberFormat="1" applyAlignment="1">
      <alignment horizontal="left" vertical="center"/>
    </xf>
    <xf numFmtId="1" fontId="0" fillId="0" borderId="0" xfId="0" applyNumberFormat="1" applyAlignment="1">
      <alignment horizontal="left" vertical="center"/>
    </xf>
    <xf numFmtId="16" fontId="0" fillId="0" borderId="0" xfId="0" applyNumberFormat="1" applyAlignment="1">
      <alignment horizontal="left"/>
    </xf>
    <xf numFmtId="0" fontId="5" fillId="6" borderId="10" xfId="0" applyFont="1" applyFill="1" applyBorder="1" applyAlignment="1">
      <alignment horizontal="left"/>
    </xf>
    <xf numFmtId="0" fontId="2" fillId="4" borderId="0" xfId="0" applyFont="1" applyFill="1" applyAlignment="1">
      <alignment horizontal="center" vertical="center"/>
    </xf>
    <xf numFmtId="0" fontId="1" fillId="2" borderId="0" xfId="0" applyFont="1" applyFill="1" applyAlignment="1">
      <alignment horizontal="left" vertical="center"/>
    </xf>
    <xf numFmtId="0" fontId="4" fillId="3" borderId="11" xfId="0" applyFont="1" applyFill="1" applyBorder="1" applyAlignment="1">
      <alignment horizontal="center"/>
    </xf>
    <xf numFmtId="0" fontId="4" fillId="3" borderId="6" xfId="0" applyFont="1" applyFill="1" applyBorder="1" applyAlignment="1">
      <alignment horizontal="center"/>
    </xf>
    <xf numFmtId="0" fontId="4" fillId="3" borderId="12" xfId="0" applyFont="1" applyFill="1"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9" fillId="0" borderId="15" xfId="0" applyFont="1" applyBorder="1" applyAlignment="1">
      <alignment horizontal="center" vertical="center"/>
    </xf>
    <xf numFmtId="0" fontId="8" fillId="7" borderId="0" xfId="0" applyFont="1" applyFill="1" applyAlignment="1">
      <alignment horizontal="center" vertical="center"/>
    </xf>
    <xf numFmtId="0" fontId="7" fillId="7" borderId="0" xfId="0" applyFont="1" applyFill="1" applyAlignment="1">
      <alignment horizontal="center" vertical="center"/>
    </xf>
    <xf numFmtId="0" fontId="10" fillId="0" borderId="14" xfId="0" applyFont="1" applyBorder="1" applyAlignment="1">
      <alignment horizontal="center" vertical="center"/>
    </xf>
    <xf numFmtId="0" fontId="10" fillId="0" borderId="15"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0" xfId="0" applyFont="1" applyAlignment="1">
      <alignment horizontal="center" vertical="center"/>
    </xf>
    <xf numFmtId="0" fontId="10" fillId="0" borderId="13"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0" fontId="10" fillId="0" borderId="20" xfId="0" applyFont="1" applyBorder="1" applyAlignment="1">
      <alignment horizontal="center" vertical="center"/>
    </xf>
    <xf numFmtId="0" fontId="0" fillId="0" borderId="0" xfId="0" applyNumberFormat="1"/>
  </cellXfs>
  <cellStyles count="1">
    <cellStyle name="Normal" xfId="0" builtinId="0"/>
  </cellStyles>
  <dxfs count="171">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strike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5" formatCode="_-* #,##0.0\ [$MAD-45F]_-;\-* #,##0.0\ [$MAD-45F]_-;_-* &quot;-&quot;??\ [$MAD-45F]_-;_-@_-"/>
    </dxf>
    <dxf>
      <font>
        <strike val="0"/>
        <outline val="0"/>
        <shadow val="0"/>
        <u val="none"/>
        <vertAlign val="baseline"/>
        <sz val="11"/>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alignment horizontal="left"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21" formatCode="dd\-mmm"/>
      <alignment horizontal="left"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 formatCode="0"/>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numFmt numFmtId="21" formatCode="dd\-mmm"/>
      <alignment horizontal="left" vertical="center"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strike val="0"/>
        <outline val="0"/>
        <shadow val="0"/>
        <u val="none"/>
        <vertAlign val="baseline"/>
        <sz val="12"/>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7" formatCode="_-* #,##0.0[$MAD]_-;\-* #,##0.0[$MAD]_-;_-* &quot;-&quot;??[$MAD]_-;_-@_-" x16r2:formatCode16="_-* #,##0.0[$MAD-zgh-Tfng-MA]_-;\-* #,##0.0[$MAD-zgh-Tfng-MA]_-;_-* &quot;-&quot;??[$MAD-zgh-Tfng-MA]_-;_-@_-"/>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4" formatCode="_-* #,##0.00\ [$CFA-300C]_-;\-* #,##0.00\ [$CFA-300C]_-;_-* &quot;-&quot;??\ [$CFA-300C]_-;_-@_-"/>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21" formatCode="dd\-mmm"/>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fill>
        <patternFill patternType="solid">
          <fgColor indexed="64"/>
          <bgColor theme="1"/>
        </patternFill>
      </fill>
    </dxf>
    <dxf>
      <font>
        <color rgb="FF006100"/>
      </font>
      <fill>
        <patternFill>
          <bgColor rgb="FFC6EFCE"/>
        </patternFill>
      </fill>
    </dxf>
    <dxf>
      <numFmt numFmtId="21" formatCode="dd\-mmm"/>
    </dxf>
    <dxf>
      <numFmt numFmtId="21" formatCode="dd\-mmm"/>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strike val="0"/>
        <outline val="0"/>
        <shadow val="0"/>
        <u val="none"/>
        <vertAlign val="baseline"/>
        <sz val="16"/>
        <color theme="1"/>
        <name val="Aptos Narrow"/>
        <family val="2"/>
        <scheme val="minor"/>
      </font>
    </dxf>
    <dxf>
      <border outline="0">
        <top style="thick">
          <color theme="1"/>
        </top>
      </border>
    </dxf>
    <dxf>
      <font>
        <b val="0"/>
        <i val="0"/>
        <strike val="0"/>
        <condense val="0"/>
        <extend val="0"/>
        <outline val="0"/>
        <shadow val="0"/>
        <u val="none"/>
        <vertAlign val="baseline"/>
        <sz val="14"/>
        <color theme="1"/>
        <name val="Aptos Narrow"/>
        <family val="2"/>
        <scheme val="minor"/>
      </font>
    </dxf>
    <dxf>
      <border outline="0">
        <bottom style="thin">
          <color indexed="64"/>
        </bottom>
      </border>
    </dxf>
    <dxf>
      <font>
        <b val="0"/>
        <i val="0"/>
        <strike val="0"/>
        <condense val="0"/>
        <extend val="0"/>
        <outline val="0"/>
        <shadow val="0"/>
        <u val="none"/>
        <vertAlign val="baseline"/>
        <sz val="14"/>
        <color theme="0"/>
        <name val="Aptos Narrow"/>
        <family val="2"/>
        <scheme val="minor"/>
      </font>
      <fill>
        <patternFill patternType="solid">
          <fgColor indexed="64"/>
          <bgColor theme="1"/>
        </patternFill>
      </fill>
      <border diagonalUp="0" diagonalDown="0" outline="0">
        <left style="thin">
          <color theme="0"/>
        </left>
        <right style="thin">
          <color theme="0"/>
        </right>
        <top/>
        <bottom/>
      </border>
    </dxf>
    <dxf>
      <font>
        <color theme="0"/>
      </font>
    </dxf>
    <dxf>
      <font>
        <color theme="0"/>
      </font>
    </dxf>
    <dxf>
      <font>
        <color theme="0"/>
      </font>
    </dxf>
    <dxf>
      <font>
        <color theme="0"/>
      </font>
    </dxf>
    <dxf>
      <font>
        <color rgb="FF9C0006"/>
      </font>
      <fill>
        <patternFill>
          <bgColor rgb="FFFFC7CE"/>
        </patternFill>
      </fill>
    </dxf>
    <dxf>
      <font>
        <b/>
        <i val="0"/>
        <name val="Agency FB"/>
        <family val="2"/>
        <scheme val="none"/>
      </font>
    </dxf>
    <dxf>
      <font>
        <color theme="1"/>
      </font>
      <border>
        <left/>
        <right/>
        <top/>
        <bottom/>
      </border>
    </dxf>
  </dxfs>
  <tableStyles count="3" defaultTableStyle="TableStyleMedium2" defaultPivotStyle="PivotStyleLight16">
    <tableStyle name="Invisible" pivot="0" table="0" count="0" xr9:uid="{69420454-DB76-42D4-B081-CC9C430D775A}"/>
    <tableStyle name="Slicer Style 1" pivot="0" table="0" count="4" xr9:uid="{8B0DC11F-F520-48E7-A833-01B0DE04DAC3}"/>
    <tableStyle name="Slicer Style 2" pivot="0" table="0" count="6" xr9:uid="{2EEA953E-DB5E-419D-A269-F65AD6450871}">
      <tableStyleElement type="wholeTable" dxfId="170"/>
      <tableStyleElement type="headerRow" dxfId="169"/>
    </tableStyle>
  </tableStyles>
  <colors>
    <mruColors>
      <color rgb="FFFF9900"/>
    </mruColors>
  </colors>
  <extLst>
    <ext xmlns:x14="http://schemas.microsoft.com/office/spreadsheetml/2009/9/main" uri="{46F421CA-312F-682f-3DD2-61675219B42D}">
      <x14:dxfs count="8">
        <dxf>
          <font>
            <color rgb="FFFF9900"/>
          </font>
          <fill>
            <patternFill>
              <bgColor theme="1"/>
            </patternFill>
          </fill>
        </dxf>
        <dxf>
          <font>
            <color rgb="FFFF9900"/>
          </font>
          <fill>
            <patternFill>
              <bgColor theme="1"/>
            </patternFill>
          </fill>
        </dxf>
        <dxf>
          <font>
            <color rgb="FFFF9900"/>
          </font>
          <fill>
            <patternFill>
              <bgColor theme="1" tint="0.34998626667073579"/>
            </patternFill>
          </fill>
        </dxf>
        <dxf>
          <font>
            <b/>
            <i val="0"/>
            <color rgb="FFFF9900"/>
          </font>
          <fill>
            <patternFill>
              <bgColor theme="1" tint="0.34998626667073579"/>
            </patternFill>
          </fill>
        </dxf>
        <dxf>
          <font>
            <color theme="0" tint="-0.14996795556505021"/>
          </font>
        </dxf>
        <dxf>
          <font>
            <color theme="1"/>
          </font>
        </dxf>
        <dxf>
          <font>
            <color theme="0" tint="-4.9989318521683403E-2"/>
          </font>
        </dxf>
        <dxf>
          <font>
            <color theme="0" tint="-4.9989318521683403E-2"/>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s>
        </x14:slicerStyle>
        <x14:slicerStyle name="Slicer Style 2">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5.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63" Type="http://schemas.openxmlformats.org/officeDocument/2006/relationships/customXml" Target="../customXml/item31.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sharedStrings" Target="sharedStrings.xml"/><Relationship Id="rId11" Type="http://schemas.openxmlformats.org/officeDocument/2006/relationships/pivotCacheDefinition" Target="pivotCache/pivotCacheDefinition5.xml"/><Relationship Id="rId24" Type="http://schemas.microsoft.com/office/2007/relationships/slicerCache" Target="slicerCaches/slicerCache3.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9.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8" Type="http://schemas.openxmlformats.org/officeDocument/2006/relationships/pivotCacheDefinition" Target="pivotCache/pivotCacheDefinition2.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4.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20" Type="http://schemas.openxmlformats.org/officeDocument/2006/relationships/pivotCacheDefinition" Target="pivotCache/pivotCacheDefinition14.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externalLink" Target="externalLinks/externalLink1.xml"/><Relationship Id="rId15" Type="http://schemas.openxmlformats.org/officeDocument/2006/relationships/pivotCacheDefinition" Target="pivotCache/pivotCacheDefinition9.xml"/><Relationship Id="rId23" Type="http://schemas.microsoft.com/office/2007/relationships/slicerCache" Target="slicerCaches/slicerCache2.xml"/><Relationship Id="rId28" Type="http://schemas.openxmlformats.org/officeDocument/2006/relationships/styles" Target="style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pivotCacheDefinition" Target="pivotCache/pivotCacheDefinition4.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Dépenses</a:t>
            </a:r>
          </a:p>
        </c:rich>
      </c:tx>
      <c:layout>
        <c:manualLayout>
          <c:xMode val="edge"/>
          <c:yMode val="edge"/>
          <c:x val="3.6302257743171529E-2"/>
          <c:y val="4.69914063246329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4"/>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F7-49E5-B2FF-33B01AC3F8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F7-49E5-B2FF-33B01AC3F8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F7-49E5-B2FF-33B01AC3F8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F7-49E5-B2FF-33B01AC3F8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F7-49E5-B2FF-33B01AC3F8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F7-49E5-B2FF-33B01AC3F8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F7-49E5-B2FF-33B01AC3F8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AF7-49E5-B2FF-33B01AC3F8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AF7-49E5-B2FF-33B01AC3F8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AF7-49E5-B2FF-33B01AC3F8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AF7-49E5-B2FF-33B01AC3F8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AF7-49E5-B2FF-33B01AC3F8AF}"/>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BAF7-49E5-B2FF-33B01AC3F8AF}"/>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BAF7-49E5-B2FF-33B01AC3F8AF}"/>
                </c:ext>
              </c:extLst>
            </c:dLbl>
            <c:dLbl>
              <c:idx val="4"/>
              <c:layout>
                <c:manualLayout>
                  <c:x val="0.16944444444444434"/>
                  <c:y val="2.3148148148148147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BAF7-49E5-B2FF-33B01AC3F8AF}"/>
                </c:ext>
              </c:extLst>
            </c:dLbl>
            <c:dLbl>
              <c:idx val="5"/>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B-BAF7-49E5-B2FF-33B01AC3F8AF}"/>
                </c:ext>
              </c:extLst>
            </c:dLbl>
            <c:dLbl>
              <c:idx val="7"/>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F-BAF7-49E5-B2FF-33B01AC3F8AF}"/>
                </c:ext>
              </c:extLst>
            </c:dLbl>
            <c:dLbl>
              <c:idx val="8"/>
              <c:layout>
                <c:manualLayout>
                  <c:x val="-8.8888888888888892E-2"/>
                  <c:y val="-0.26851851851851855"/>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11-BAF7-49E5-B2FF-33B01AC3F8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charts!$A$113:$A$125</c:f>
              <c:strCache>
                <c:ptCount val="12"/>
                <c:pt idx="0">
                  <c:v>Accessoires</c:v>
                </c:pt>
                <c:pt idx="1">
                  <c:v>Autre</c:v>
                </c:pt>
                <c:pt idx="2">
                  <c:v>Bus/taxi/train/avion</c:v>
                </c:pt>
                <c:pt idx="3">
                  <c:v>Carburant</c:v>
                </c:pt>
                <c:pt idx="4">
                  <c:v>Eau</c:v>
                </c:pt>
                <c:pt idx="5">
                  <c:v>Electricite</c:v>
                </c:pt>
                <c:pt idx="6">
                  <c:v>Gaz</c:v>
                </c:pt>
                <c:pt idx="7">
                  <c:v>Internet &amp; Phone</c:v>
                </c:pt>
                <c:pt idx="8">
                  <c:v>Loyer</c:v>
                </c:pt>
                <c:pt idx="9">
                  <c:v>maintenance</c:v>
                </c:pt>
                <c:pt idx="10">
                  <c:v>Nourriture externe</c:v>
                </c:pt>
                <c:pt idx="11">
                  <c:v>Nourriture interne</c:v>
                </c:pt>
              </c:strCache>
            </c:strRef>
          </c:cat>
          <c:val>
            <c:numRef>
              <c:f>charts!$B$113:$B$125</c:f>
              <c:numCache>
                <c:formatCode>General</c:formatCode>
                <c:ptCount val="12"/>
                <c:pt idx="0">
                  <c:v>1100</c:v>
                </c:pt>
                <c:pt idx="1">
                  <c:v>2</c:v>
                </c:pt>
                <c:pt idx="2">
                  <c:v>300</c:v>
                </c:pt>
                <c:pt idx="3">
                  <c:v>300</c:v>
                </c:pt>
                <c:pt idx="4">
                  <c:v>210</c:v>
                </c:pt>
                <c:pt idx="5">
                  <c:v>930</c:v>
                </c:pt>
                <c:pt idx="6">
                  <c:v>173</c:v>
                </c:pt>
                <c:pt idx="7">
                  <c:v>770</c:v>
                </c:pt>
                <c:pt idx="8">
                  <c:v>36500</c:v>
                </c:pt>
                <c:pt idx="9">
                  <c:v>550</c:v>
                </c:pt>
                <c:pt idx="10">
                  <c:v>300</c:v>
                </c:pt>
                <c:pt idx="11">
                  <c:v>670</c:v>
                </c:pt>
              </c:numCache>
            </c:numRef>
          </c:val>
          <c:extLst>
            <c:ext xmlns:c16="http://schemas.microsoft.com/office/drawing/2014/chart" uri="{C3380CC4-5D6E-409C-BE32-E72D297353CC}">
              <c16:uniqueId val="{00000012-603F-43D3-8963-7204D7DE8E7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Copie.xlsm]charts!PivotTable15</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charts!$AA$69:$AA$113</c:f>
              <c:multiLvlStrCache>
                <c:ptCount val="32"/>
                <c:lvl>
                  <c:pt idx="0">
                    <c:v>W 1</c:v>
                  </c:pt>
                  <c:pt idx="1">
                    <c:v>W 2</c:v>
                  </c:pt>
                  <c:pt idx="2">
                    <c:v>W 3</c:v>
                  </c:pt>
                  <c:pt idx="3">
                    <c:v>W 4</c:v>
                  </c:pt>
                  <c:pt idx="4">
                    <c:v>W 5</c:v>
                  </c:pt>
                  <c:pt idx="5">
                    <c:v>W 6</c:v>
                  </c:pt>
                  <c:pt idx="6">
                    <c:v>W 8</c:v>
                  </c:pt>
                  <c:pt idx="7">
                    <c:v>W 9</c:v>
                  </c:pt>
                  <c:pt idx="8">
                    <c:v>W 10</c:v>
                  </c:pt>
                  <c:pt idx="9">
                    <c:v>W 11</c:v>
                  </c:pt>
                  <c:pt idx="10">
                    <c:v>W 12</c:v>
                  </c:pt>
                  <c:pt idx="11">
                    <c:v>W 9</c:v>
                  </c:pt>
                  <c:pt idx="12">
                    <c:v>W 14</c:v>
                  </c:pt>
                  <c:pt idx="13">
                    <c:v>W 17</c:v>
                  </c:pt>
                  <c:pt idx="14">
                    <c:v>W 18</c:v>
                  </c:pt>
                  <c:pt idx="15">
                    <c:v>W 21</c:v>
                  </c:pt>
                  <c:pt idx="16">
                    <c:v>W 23</c:v>
                  </c:pt>
                  <c:pt idx="17">
                    <c:v>W 24</c:v>
                  </c:pt>
                  <c:pt idx="18">
                    <c:v>W 27</c:v>
                  </c:pt>
                  <c:pt idx="19">
                    <c:v>W 27</c:v>
                  </c:pt>
                  <c:pt idx="20">
                    <c:v>W 28</c:v>
                  </c:pt>
                  <c:pt idx="21">
                    <c:v>W 29</c:v>
                  </c:pt>
                  <c:pt idx="22">
                    <c:v>W 30</c:v>
                  </c:pt>
                  <c:pt idx="23">
                    <c:v>W 31</c:v>
                  </c:pt>
                  <c:pt idx="24">
                    <c:v>W 32</c:v>
                  </c:pt>
                  <c:pt idx="25">
                    <c:v>W 35</c:v>
                  </c:pt>
                  <c:pt idx="26">
                    <c:v>W 36</c:v>
                  </c:pt>
                  <c:pt idx="27">
                    <c:v>W 39</c:v>
                  </c:pt>
                  <c:pt idx="28">
                    <c:v>W 40</c:v>
                  </c:pt>
                  <c:pt idx="29">
                    <c:v>W 41</c:v>
                  </c:pt>
                  <c:pt idx="30">
                    <c:v>W 44</c:v>
                  </c:pt>
                  <c:pt idx="31">
                    <c:v>W 49</c:v>
                  </c:pt>
                </c:lvl>
                <c:lvl>
                  <c:pt idx="0">
                    <c:v>janv</c:v>
                  </c:pt>
                  <c:pt idx="4">
                    <c:v>févr</c:v>
                  </c:pt>
                  <c:pt idx="8">
                    <c:v>mars</c:v>
                  </c:pt>
                  <c:pt idx="12">
                    <c:v>avr</c:v>
                  </c:pt>
                  <c:pt idx="14">
                    <c:v>mai</c:v>
                  </c:pt>
                  <c:pt idx="16">
                    <c:v>juin</c:v>
                  </c:pt>
                  <c:pt idx="19">
                    <c:v>juil</c:v>
                  </c:pt>
                  <c:pt idx="23">
                    <c:v>août</c:v>
                  </c:pt>
                  <c:pt idx="26">
                    <c:v>sept</c:v>
                  </c:pt>
                  <c:pt idx="28">
                    <c:v>oct</c:v>
                  </c:pt>
                  <c:pt idx="30">
                    <c:v>nov</c:v>
                  </c:pt>
                  <c:pt idx="31">
                    <c:v>déc</c:v>
                  </c:pt>
                </c:lvl>
              </c:multiLvlStrCache>
            </c:multiLvlStrRef>
          </c:cat>
          <c:val>
            <c:numRef>
              <c:f>charts!$AB$69:$AB$113</c:f>
              <c:numCache>
                <c:formatCode>General</c:formatCode>
                <c:ptCount val="32"/>
                <c:pt idx="0">
                  <c:v>3350</c:v>
                </c:pt>
                <c:pt idx="1">
                  <c:v>870</c:v>
                </c:pt>
                <c:pt idx="2">
                  <c:v>400</c:v>
                </c:pt>
                <c:pt idx="3">
                  <c:v>300</c:v>
                </c:pt>
                <c:pt idx="4">
                  <c:v>130</c:v>
                </c:pt>
                <c:pt idx="6">
                  <c:v>3000</c:v>
                </c:pt>
                <c:pt idx="7">
                  <c:v>273</c:v>
                </c:pt>
                <c:pt idx="8">
                  <c:v>3150</c:v>
                </c:pt>
                <c:pt idx="9">
                  <c:v>860</c:v>
                </c:pt>
                <c:pt idx="10">
                  <c:v>800</c:v>
                </c:pt>
                <c:pt idx="12">
                  <c:v>3000</c:v>
                </c:pt>
                <c:pt idx="14">
                  <c:v>3500</c:v>
                </c:pt>
                <c:pt idx="16">
                  <c:v>3500</c:v>
                </c:pt>
                <c:pt idx="22">
                  <c:v>1772</c:v>
                </c:pt>
                <c:pt idx="26">
                  <c:v>3500</c:v>
                </c:pt>
                <c:pt idx="27">
                  <c:v>400</c:v>
                </c:pt>
                <c:pt idx="28">
                  <c:v>4000</c:v>
                </c:pt>
                <c:pt idx="30">
                  <c:v>4000</c:v>
                </c:pt>
                <c:pt idx="31">
                  <c:v>5000</c:v>
                </c:pt>
              </c:numCache>
            </c:numRef>
          </c:val>
          <c:smooth val="0"/>
          <c:extLst>
            <c:ext xmlns:c16="http://schemas.microsoft.com/office/drawing/2014/chart" uri="{C3380CC4-5D6E-409C-BE32-E72D297353CC}">
              <c16:uniqueId val="{00000007-23D4-42AD-845A-9102409C8D8B}"/>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charts!$AA$69:$AA$113</c:f>
              <c:multiLvlStrCache>
                <c:ptCount val="32"/>
                <c:lvl>
                  <c:pt idx="0">
                    <c:v>W 1</c:v>
                  </c:pt>
                  <c:pt idx="1">
                    <c:v>W 2</c:v>
                  </c:pt>
                  <c:pt idx="2">
                    <c:v>W 3</c:v>
                  </c:pt>
                  <c:pt idx="3">
                    <c:v>W 4</c:v>
                  </c:pt>
                  <c:pt idx="4">
                    <c:v>W 5</c:v>
                  </c:pt>
                  <c:pt idx="5">
                    <c:v>W 6</c:v>
                  </c:pt>
                  <c:pt idx="6">
                    <c:v>W 8</c:v>
                  </c:pt>
                  <c:pt idx="7">
                    <c:v>W 9</c:v>
                  </c:pt>
                  <c:pt idx="8">
                    <c:v>W 10</c:v>
                  </c:pt>
                  <c:pt idx="9">
                    <c:v>W 11</c:v>
                  </c:pt>
                  <c:pt idx="10">
                    <c:v>W 12</c:v>
                  </c:pt>
                  <c:pt idx="11">
                    <c:v>W 9</c:v>
                  </c:pt>
                  <c:pt idx="12">
                    <c:v>W 14</c:v>
                  </c:pt>
                  <c:pt idx="13">
                    <c:v>W 17</c:v>
                  </c:pt>
                  <c:pt idx="14">
                    <c:v>W 18</c:v>
                  </c:pt>
                  <c:pt idx="15">
                    <c:v>W 21</c:v>
                  </c:pt>
                  <c:pt idx="16">
                    <c:v>W 23</c:v>
                  </c:pt>
                  <c:pt idx="17">
                    <c:v>W 24</c:v>
                  </c:pt>
                  <c:pt idx="18">
                    <c:v>W 27</c:v>
                  </c:pt>
                  <c:pt idx="19">
                    <c:v>W 27</c:v>
                  </c:pt>
                  <c:pt idx="20">
                    <c:v>W 28</c:v>
                  </c:pt>
                  <c:pt idx="21">
                    <c:v>W 29</c:v>
                  </c:pt>
                  <c:pt idx="22">
                    <c:v>W 30</c:v>
                  </c:pt>
                  <c:pt idx="23">
                    <c:v>W 31</c:v>
                  </c:pt>
                  <c:pt idx="24">
                    <c:v>W 32</c:v>
                  </c:pt>
                  <c:pt idx="25">
                    <c:v>W 35</c:v>
                  </c:pt>
                  <c:pt idx="26">
                    <c:v>W 36</c:v>
                  </c:pt>
                  <c:pt idx="27">
                    <c:v>W 39</c:v>
                  </c:pt>
                  <c:pt idx="28">
                    <c:v>W 40</c:v>
                  </c:pt>
                  <c:pt idx="29">
                    <c:v>W 41</c:v>
                  </c:pt>
                  <c:pt idx="30">
                    <c:v>W 44</c:v>
                  </c:pt>
                  <c:pt idx="31">
                    <c:v>W 49</c:v>
                  </c:pt>
                </c:lvl>
                <c:lvl>
                  <c:pt idx="0">
                    <c:v>janv</c:v>
                  </c:pt>
                  <c:pt idx="4">
                    <c:v>févr</c:v>
                  </c:pt>
                  <c:pt idx="8">
                    <c:v>mars</c:v>
                  </c:pt>
                  <c:pt idx="12">
                    <c:v>avr</c:v>
                  </c:pt>
                  <c:pt idx="14">
                    <c:v>mai</c:v>
                  </c:pt>
                  <c:pt idx="16">
                    <c:v>juin</c:v>
                  </c:pt>
                  <c:pt idx="19">
                    <c:v>juil</c:v>
                  </c:pt>
                  <c:pt idx="23">
                    <c:v>août</c:v>
                  </c:pt>
                  <c:pt idx="26">
                    <c:v>sept</c:v>
                  </c:pt>
                  <c:pt idx="28">
                    <c:v>oct</c:v>
                  </c:pt>
                  <c:pt idx="30">
                    <c:v>nov</c:v>
                  </c:pt>
                  <c:pt idx="31">
                    <c:v>déc</c:v>
                  </c:pt>
                </c:lvl>
              </c:multiLvlStrCache>
            </c:multiLvlStrRef>
          </c:cat>
          <c:val>
            <c:numRef>
              <c:f>charts!$AC$69:$AC$113</c:f>
              <c:numCache>
                <c:formatCode>General</c:formatCode>
                <c:ptCount val="32"/>
                <c:pt idx="0">
                  <c:v>450</c:v>
                </c:pt>
                <c:pt idx="1">
                  <c:v>-70</c:v>
                </c:pt>
                <c:pt idx="2">
                  <c:v>-400</c:v>
                </c:pt>
                <c:pt idx="3">
                  <c:v>-300</c:v>
                </c:pt>
                <c:pt idx="4">
                  <c:v>1270</c:v>
                </c:pt>
                <c:pt idx="5">
                  <c:v>1094</c:v>
                </c:pt>
                <c:pt idx="6">
                  <c:v>-3000</c:v>
                </c:pt>
                <c:pt idx="7">
                  <c:v>-273</c:v>
                </c:pt>
                <c:pt idx="8">
                  <c:v>-2150</c:v>
                </c:pt>
                <c:pt idx="9">
                  <c:v>-860</c:v>
                </c:pt>
                <c:pt idx="10">
                  <c:v>-800</c:v>
                </c:pt>
                <c:pt idx="11">
                  <c:v>1500</c:v>
                </c:pt>
                <c:pt idx="12">
                  <c:v>-3000</c:v>
                </c:pt>
                <c:pt idx="13">
                  <c:v>550</c:v>
                </c:pt>
                <c:pt idx="14">
                  <c:v>-3500</c:v>
                </c:pt>
                <c:pt idx="15">
                  <c:v>100</c:v>
                </c:pt>
                <c:pt idx="16">
                  <c:v>-3500</c:v>
                </c:pt>
                <c:pt idx="17">
                  <c:v>1000</c:v>
                </c:pt>
                <c:pt idx="18">
                  <c:v>240</c:v>
                </c:pt>
                <c:pt idx="19">
                  <c:v>1373</c:v>
                </c:pt>
                <c:pt idx="20">
                  <c:v>7441</c:v>
                </c:pt>
                <c:pt idx="21">
                  <c:v>2630</c:v>
                </c:pt>
                <c:pt idx="22">
                  <c:v>-1570</c:v>
                </c:pt>
                <c:pt idx="23">
                  <c:v>400</c:v>
                </c:pt>
                <c:pt idx="24">
                  <c:v>500</c:v>
                </c:pt>
                <c:pt idx="25">
                  <c:v>100</c:v>
                </c:pt>
                <c:pt idx="26">
                  <c:v>-3500</c:v>
                </c:pt>
                <c:pt idx="27">
                  <c:v>-400</c:v>
                </c:pt>
                <c:pt idx="28">
                  <c:v>-4000</c:v>
                </c:pt>
                <c:pt idx="29">
                  <c:v>3940</c:v>
                </c:pt>
                <c:pt idx="30">
                  <c:v>-4000</c:v>
                </c:pt>
                <c:pt idx="31">
                  <c:v>-5000</c:v>
                </c:pt>
              </c:numCache>
            </c:numRef>
          </c:val>
          <c:smooth val="0"/>
          <c:extLst>
            <c:ext xmlns:c16="http://schemas.microsoft.com/office/drawing/2014/chart" uri="{C3380CC4-5D6E-409C-BE32-E72D297353CC}">
              <c16:uniqueId val="{00000008-23D4-42AD-845A-9102409C8D8B}"/>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p>
        </c:rich>
      </c:tx>
      <c:layout>
        <c:manualLayout>
          <c:xMode val="edge"/>
          <c:yMode val="edge"/>
          <c:x val="4.0176505641859532E-2"/>
          <c:y val="5.0349513411689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53-47A9-A6EF-BACA46F575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53-47A9-A6EF-BACA46F575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53-47A9-A6EF-BACA46F5758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53-47A9-A6EF-BACA46F5758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charts!$L$38:$L$41</c:f>
              <c:strCache>
                <c:ptCount val="3"/>
                <c:pt idx="0">
                  <c:v>Autres</c:v>
                </c:pt>
                <c:pt idx="1">
                  <c:v>Don</c:v>
                </c:pt>
                <c:pt idx="2">
                  <c:v>Freelancing</c:v>
                </c:pt>
              </c:strCache>
            </c:strRef>
          </c:cat>
          <c:val>
            <c:numRef>
              <c:f>charts!$M$38:$M$41</c:f>
              <c:numCache>
                <c:formatCode>General</c:formatCode>
                <c:ptCount val="3"/>
                <c:pt idx="0">
                  <c:v>1300</c:v>
                </c:pt>
                <c:pt idx="1">
                  <c:v>7859</c:v>
                </c:pt>
                <c:pt idx="2">
                  <c:v>18911</c:v>
                </c:pt>
              </c:numCache>
            </c:numRef>
          </c:val>
          <c:extLst>
            <c:ext xmlns:c16="http://schemas.microsoft.com/office/drawing/2014/chart" uri="{C3380CC4-5D6E-409C-BE32-E72D297353CC}">
              <c16:uniqueId val="{0000000F-8D6F-4C56-A259-0964932BD0FA}"/>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Repartitions</a:t>
            </a:r>
            <a:r>
              <a:rPr lang="fr-FR" baseline="0"/>
              <a:t> des dépenses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33-4705-BA8E-92E7BBED45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33-4705-BA8E-92E7BBED45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33-4705-BA8E-92E7BBED45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33-4705-BA8E-92E7BBED453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33-4705-BA8E-92E7BBED453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charts!$A$4:$A$9</c:f>
              <c:strCache>
                <c:ptCount val="5"/>
                <c:pt idx="0">
                  <c:v>Dime</c:v>
                </c:pt>
                <c:pt idx="1">
                  <c:v>Internet</c:v>
                </c:pt>
                <c:pt idx="2">
                  <c:v>Nourriture</c:v>
                </c:pt>
                <c:pt idx="3">
                  <c:v>Offrande</c:v>
                </c:pt>
                <c:pt idx="4">
                  <c:v>Transport</c:v>
                </c:pt>
              </c:strCache>
            </c:strRef>
          </c:cat>
          <c:val>
            <c:numRef>
              <c:f>charts!$B$4:$B$9</c:f>
              <c:numCache>
                <c:formatCode>General</c:formatCode>
                <c:ptCount val="5"/>
                <c:pt idx="0">
                  <c:v>96</c:v>
                </c:pt>
                <c:pt idx="1">
                  <c:v>10</c:v>
                </c:pt>
                <c:pt idx="2">
                  <c:v>177</c:v>
                </c:pt>
                <c:pt idx="3">
                  <c:v>268.89999999999998</c:v>
                </c:pt>
                <c:pt idx="4">
                  <c:v>98</c:v>
                </c:pt>
              </c:numCache>
            </c:numRef>
          </c:val>
          <c:extLst>
            <c:ext xmlns:c16="http://schemas.microsoft.com/office/drawing/2014/chart" uri="{C3380CC4-5D6E-409C-BE32-E72D297353CC}">
              <c16:uniqueId val="{00000000-B9E4-4C36-BA08-F8FE83C8DC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a:t>
            </a:r>
            <a:r>
              <a:rPr lang="en-US" baseline="0"/>
              <a:t> 2024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496-45B8-BAE0-73B9B43D8D1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496-45B8-BAE0-73B9B43D8D1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496-45B8-BAE0-73B9B43D8D1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496-45B8-BAE0-73B9B43D8D1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496-45B8-BAE0-73B9B43D8D1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496-45B8-BAE0-73B9B43D8D1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496-45B8-BAE0-73B9B43D8D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charts!$A$20:$A$27</c:f>
              <c:strCache>
                <c:ptCount val="7"/>
                <c:pt idx="0">
                  <c:v>Accessoire</c:v>
                </c:pt>
                <c:pt idx="1">
                  <c:v>Dime</c:v>
                </c:pt>
                <c:pt idx="2">
                  <c:v>Internet</c:v>
                </c:pt>
                <c:pt idx="3">
                  <c:v>Nourriture</c:v>
                </c:pt>
                <c:pt idx="4">
                  <c:v>Offrande</c:v>
                </c:pt>
                <c:pt idx="5">
                  <c:v>Transport</c:v>
                </c:pt>
                <c:pt idx="6">
                  <c:v>(blank)</c:v>
                </c:pt>
              </c:strCache>
            </c:strRef>
          </c:cat>
          <c:val>
            <c:numRef>
              <c:f>charts!$B$20:$B$27</c:f>
              <c:numCache>
                <c:formatCode>General</c:formatCode>
                <c:ptCount val="7"/>
                <c:pt idx="0">
                  <c:v>70</c:v>
                </c:pt>
                <c:pt idx="1">
                  <c:v>96</c:v>
                </c:pt>
                <c:pt idx="2">
                  <c:v>10</c:v>
                </c:pt>
                <c:pt idx="3">
                  <c:v>177</c:v>
                </c:pt>
                <c:pt idx="4">
                  <c:v>268.89999999999998</c:v>
                </c:pt>
                <c:pt idx="5">
                  <c:v>98</c:v>
                </c:pt>
              </c:numCache>
            </c:numRef>
          </c:val>
          <c:extLst>
            <c:ext xmlns:c16="http://schemas.microsoft.com/office/drawing/2014/chart" uri="{C3380CC4-5D6E-409C-BE32-E72D297353CC}">
              <c16:uniqueId val="{00000000-D6F4-4D34-AA58-B5D1A386EA62}"/>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 par Catégorie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F4-4E32-A242-6819A28F63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F4-4E32-A242-6819A28F63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F4-4E32-A242-6819A28F63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F4-4E32-A242-6819A28F63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F4-4E32-A242-6819A28F63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F4-4E32-A242-6819A28F636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F4-4E32-A242-6819A28F636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8F4-4E32-A242-6819A28F636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8F4-4E32-A242-6819A28F636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8F4-4E32-A242-6819A28F636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8F4-4E32-A242-6819A28F636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8F4-4E32-A242-6819A28F6362}"/>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98F4-4E32-A242-6819A28F6362}"/>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98F4-4E32-A242-6819A28F6362}"/>
                </c:ext>
              </c:extLst>
            </c:dLbl>
            <c:dLbl>
              <c:idx val="4"/>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98F4-4E32-A242-6819A28F6362}"/>
                </c:ext>
              </c:extLst>
            </c:dLbl>
            <c:dLbl>
              <c:idx val="5"/>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B-98F4-4E32-A242-6819A28F636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charts!$A$113:$A$125</c:f>
              <c:strCache>
                <c:ptCount val="12"/>
                <c:pt idx="0">
                  <c:v>Accessoires</c:v>
                </c:pt>
                <c:pt idx="1">
                  <c:v>Autre</c:v>
                </c:pt>
                <c:pt idx="2">
                  <c:v>Bus/taxi/train/avion</c:v>
                </c:pt>
                <c:pt idx="3">
                  <c:v>Carburant</c:v>
                </c:pt>
                <c:pt idx="4">
                  <c:v>Eau</c:v>
                </c:pt>
                <c:pt idx="5">
                  <c:v>Electricite</c:v>
                </c:pt>
                <c:pt idx="6">
                  <c:v>Gaz</c:v>
                </c:pt>
                <c:pt idx="7">
                  <c:v>Internet &amp; Phone</c:v>
                </c:pt>
                <c:pt idx="8">
                  <c:v>Loyer</c:v>
                </c:pt>
                <c:pt idx="9">
                  <c:v>maintenance</c:v>
                </c:pt>
                <c:pt idx="10">
                  <c:v>Nourriture externe</c:v>
                </c:pt>
                <c:pt idx="11">
                  <c:v>Nourriture interne</c:v>
                </c:pt>
              </c:strCache>
            </c:strRef>
          </c:cat>
          <c:val>
            <c:numRef>
              <c:f>charts!$B$113:$B$125</c:f>
              <c:numCache>
                <c:formatCode>General</c:formatCode>
                <c:ptCount val="12"/>
                <c:pt idx="0">
                  <c:v>1100</c:v>
                </c:pt>
                <c:pt idx="1">
                  <c:v>2</c:v>
                </c:pt>
                <c:pt idx="2">
                  <c:v>300</c:v>
                </c:pt>
                <c:pt idx="3">
                  <c:v>300</c:v>
                </c:pt>
                <c:pt idx="4">
                  <c:v>210</c:v>
                </c:pt>
                <c:pt idx="5">
                  <c:v>930</c:v>
                </c:pt>
                <c:pt idx="6">
                  <c:v>173</c:v>
                </c:pt>
                <c:pt idx="7">
                  <c:v>770</c:v>
                </c:pt>
                <c:pt idx="8">
                  <c:v>36500</c:v>
                </c:pt>
                <c:pt idx="9">
                  <c:v>550</c:v>
                </c:pt>
                <c:pt idx="10">
                  <c:v>300</c:v>
                </c:pt>
                <c:pt idx="11">
                  <c:v>670</c:v>
                </c:pt>
              </c:numCache>
            </c:numRef>
          </c:val>
          <c:extLst>
            <c:ext xmlns:c16="http://schemas.microsoft.com/office/drawing/2014/chart" uri="{C3380CC4-5D6E-409C-BE32-E72D297353CC}">
              <c16:uniqueId val="{0000000C-FA06-40E6-9C5B-87A54F2494E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Copie.xlsm]charts!PivotTable15</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charts!$AA$69:$AA$113</c:f>
              <c:multiLvlStrCache>
                <c:ptCount val="32"/>
                <c:lvl>
                  <c:pt idx="0">
                    <c:v>W 1</c:v>
                  </c:pt>
                  <c:pt idx="1">
                    <c:v>W 2</c:v>
                  </c:pt>
                  <c:pt idx="2">
                    <c:v>W 3</c:v>
                  </c:pt>
                  <c:pt idx="3">
                    <c:v>W 4</c:v>
                  </c:pt>
                  <c:pt idx="4">
                    <c:v>W 5</c:v>
                  </c:pt>
                  <c:pt idx="5">
                    <c:v>W 6</c:v>
                  </c:pt>
                  <c:pt idx="6">
                    <c:v>W 8</c:v>
                  </c:pt>
                  <c:pt idx="7">
                    <c:v>W 9</c:v>
                  </c:pt>
                  <c:pt idx="8">
                    <c:v>W 10</c:v>
                  </c:pt>
                  <c:pt idx="9">
                    <c:v>W 11</c:v>
                  </c:pt>
                  <c:pt idx="10">
                    <c:v>W 12</c:v>
                  </c:pt>
                  <c:pt idx="11">
                    <c:v>W 9</c:v>
                  </c:pt>
                  <c:pt idx="12">
                    <c:v>W 14</c:v>
                  </c:pt>
                  <c:pt idx="13">
                    <c:v>W 17</c:v>
                  </c:pt>
                  <c:pt idx="14">
                    <c:v>W 18</c:v>
                  </c:pt>
                  <c:pt idx="15">
                    <c:v>W 21</c:v>
                  </c:pt>
                  <c:pt idx="16">
                    <c:v>W 23</c:v>
                  </c:pt>
                  <c:pt idx="17">
                    <c:v>W 24</c:v>
                  </c:pt>
                  <c:pt idx="18">
                    <c:v>W 27</c:v>
                  </c:pt>
                  <c:pt idx="19">
                    <c:v>W 27</c:v>
                  </c:pt>
                  <c:pt idx="20">
                    <c:v>W 28</c:v>
                  </c:pt>
                  <c:pt idx="21">
                    <c:v>W 29</c:v>
                  </c:pt>
                  <c:pt idx="22">
                    <c:v>W 30</c:v>
                  </c:pt>
                  <c:pt idx="23">
                    <c:v>W 31</c:v>
                  </c:pt>
                  <c:pt idx="24">
                    <c:v>W 32</c:v>
                  </c:pt>
                  <c:pt idx="25">
                    <c:v>W 35</c:v>
                  </c:pt>
                  <c:pt idx="26">
                    <c:v>W 36</c:v>
                  </c:pt>
                  <c:pt idx="27">
                    <c:v>W 39</c:v>
                  </c:pt>
                  <c:pt idx="28">
                    <c:v>W 40</c:v>
                  </c:pt>
                  <c:pt idx="29">
                    <c:v>W 41</c:v>
                  </c:pt>
                  <c:pt idx="30">
                    <c:v>W 44</c:v>
                  </c:pt>
                  <c:pt idx="31">
                    <c:v>W 49</c:v>
                  </c:pt>
                </c:lvl>
                <c:lvl>
                  <c:pt idx="0">
                    <c:v>janv</c:v>
                  </c:pt>
                  <c:pt idx="4">
                    <c:v>févr</c:v>
                  </c:pt>
                  <c:pt idx="8">
                    <c:v>mars</c:v>
                  </c:pt>
                  <c:pt idx="12">
                    <c:v>avr</c:v>
                  </c:pt>
                  <c:pt idx="14">
                    <c:v>mai</c:v>
                  </c:pt>
                  <c:pt idx="16">
                    <c:v>juin</c:v>
                  </c:pt>
                  <c:pt idx="19">
                    <c:v>juil</c:v>
                  </c:pt>
                  <c:pt idx="23">
                    <c:v>août</c:v>
                  </c:pt>
                  <c:pt idx="26">
                    <c:v>sept</c:v>
                  </c:pt>
                  <c:pt idx="28">
                    <c:v>oct</c:v>
                  </c:pt>
                  <c:pt idx="30">
                    <c:v>nov</c:v>
                  </c:pt>
                  <c:pt idx="31">
                    <c:v>déc</c:v>
                  </c:pt>
                </c:lvl>
              </c:multiLvlStrCache>
            </c:multiLvlStrRef>
          </c:cat>
          <c:val>
            <c:numRef>
              <c:f>charts!$AB$69:$AB$113</c:f>
              <c:numCache>
                <c:formatCode>General</c:formatCode>
                <c:ptCount val="32"/>
                <c:pt idx="0">
                  <c:v>3350</c:v>
                </c:pt>
                <c:pt idx="1">
                  <c:v>870</c:v>
                </c:pt>
                <c:pt idx="2">
                  <c:v>400</c:v>
                </c:pt>
                <c:pt idx="3">
                  <c:v>300</c:v>
                </c:pt>
                <c:pt idx="4">
                  <c:v>130</c:v>
                </c:pt>
                <c:pt idx="6">
                  <c:v>3000</c:v>
                </c:pt>
                <c:pt idx="7">
                  <c:v>273</c:v>
                </c:pt>
                <c:pt idx="8">
                  <c:v>3150</c:v>
                </c:pt>
                <c:pt idx="9">
                  <c:v>860</c:v>
                </c:pt>
                <c:pt idx="10">
                  <c:v>800</c:v>
                </c:pt>
                <c:pt idx="12">
                  <c:v>3000</c:v>
                </c:pt>
                <c:pt idx="14">
                  <c:v>3500</c:v>
                </c:pt>
                <c:pt idx="16">
                  <c:v>3500</c:v>
                </c:pt>
                <c:pt idx="22">
                  <c:v>1772</c:v>
                </c:pt>
                <c:pt idx="26">
                  <c:v>3500</c:v>
                </c:pt>
                <c:pt idx="27">
                  <c:v>400</c:v>
                </c:pt>
                <c:pt idx="28">
                  <c:v>4000</c:v>
                </c:pt>
                <c:pt idx="30">
                  <c:v>4000</c:v>
                </c:pt>
                <c:pt idx="31">
                  <c:v>5000</c:v>
                </c:pt>
              </c:numCache>
            </c:numRef>
          </c:val>
          <c:smooth val="0"/>
          <c:extLst>
            <c:ext xmlns:c16="http://schemas.microsoft.com/office/drawing/2014/chart" uri="{C3380CC4-5D6E-409C-BE32-E72D297353CC}">
              <c16:uniqueId val="{00000007-6F04-4AC3-A367-EA405A02E5B0}"/>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charts!$AA$69:$AA$113</c:f>
              <c:multiLvlStrCache>
                <c:ptCount val="32"/>
                <c:lvl>
                  <c:pt idx="0">
                    <c:v>W 1</c:v>
                  </c:pt>
                  <c:pt idx="1">
                    <c:v>W 2</c:v>
                  </c:pt>
                  <c:pt idx="2">
                    <c:v>W 3</c:v>
                  </c:pt>
                  <c:pt idx="3">
                    <c:v>W 4</c:v>
                  </c:pt>
                  <c:pt idx="4">
                    <c:v>W 5</c:v>
                  </c:pt>
                  <c:pt idx="5">
                    <c:v>W 6</c:v>
                  </c:pt>
                  <c:pt idx="6">
                    <c:v>W 8</c:v>
                  </c:pt>
                  <c:pt idx="7">
                    <c:v>W 9</c:v>
                  </c:pt>
                  <c:pt idx="8">
                    <c:v>W 10</c:v>
                  </c:pt>
                  <c:pt idx="9">
                    <c:v>W 11</c:v>
                  </c:pt>
                  <c:pt idx="10">
                    <c:v>W 12</c:v>
                  </c:pt>
                  <c:pt idx="11">
                    <c:v>W 9</c:v>
                  </c:pt>
                  <c:pt idx="12">
                    <c:v>W 14</c:v>
                  </c:pt>
                  <c:pt idx="13">
                    <c:v>W 17</c:v>
                  </c:pt>
                  <c:pt idx="14">
                    <c:v>W 18</c:v>
                  </c:pt>
                  <c:pt idx="15">
                    <c:v>W 21</c:v>
                  </c:pt>
                  <c:pt idx="16">
                    <c:v>W 23</c:v>
                  </c:pt>
                  <c:pt idx="17">
                    <c:v>W 24</c:v>
                  </c:pt>
                  <c:pt idx="18">
                    <c:v>W 27</c:v>
                  </c:pt>
                  <c:pt idx="19">
                    <c:v>W 27</c:v>
                  </c:pt>
                  <c:pt idx="20">
                    <c:v>W 28</c:v>
                  </c:pt>
                  <c:pt idx="21">
                    <c:v>W 29</c:v>
                  </c:pt>
                  <c:pt idx="22">
                    <c:v>W 30</c:v>
                  </c:pt>
                  <c:pt idx="23">
                    <c:v>W 31</c:v>
                  </c:pt>
                  <c:pt idx="24">
                    <c:v>W 32</c:v>
                  </c:pt>
                  <c:pt idx="25">
                    <c:v>W 35</c:v>
                  </c:pt>
                  <c:pt idx="26">
                    <c:v>W 36</c:v>
                  </c:pt>
                  <c:pt idx="27">
                    <c:v>W 39</c:v>
                  </c:pt>
                  <c:pt idx="28">
                    <c:v>W 40</c:v>
                  </c:pt>
                  <c:pt idx="29">
                    <c:v>W 41</c:v>
                  </c:pt>
                  <c:pt idx="30">
                    <c:v>W 44</c:v>
                  </c:pt>
                  <c:pt idx="31">
                    <c:v>W 49</c:v>
                  </c:pt>
                </c:lvl>
                <c:lvl>
                  <c:pt idx="0">
                    <c:v>janv</c:v>
                  </c:pt>
                  <c:pt idx="4">
                    <c:v>févr</c:v>
                  </c:pt>
                  <c:pt idx="8">
                    <c:v>mars</c:v>
                  </c:pt>
                  <c:pt idx="12">
                    <c:v>avr</c:v>
                  </c:pt>
                  <c:pt idx="14">
                    <c:v>mai</c:v>
                  </c:pt>
                  <c:pt idx="16">
                    <c:v>juin</c:v>
                  </c:pt>
                  <c:pt idx="19">
                    <c:v>juil</c:v>
                  </c:pt>
                  <c:pt idx="23">
                    <c:v>août</c:v>
                  </c:pt>
                  <c:pt idx="26">
                    <c:v>sept</c:v>
                  </c:pt>
                  <c:pt idx="28">
                    <c:v>oct</c:v>
                  </c:pt>
                  <c:pt idx="30">
                    <c:v>nov</c:v>
                  </c:pt>
                  <c:pt idx="31">
                    <c:v>déc</c:v>
                  </c:pt>
                </c:lvl>
              </c:multiLvlStrCache>
            </c:multiLvlStrRef>
          </c:cat>
          <c:val>
            <c:numRef>
              <c:f>charts!$AC$69:$AC$113</c:f>
              <c:numCache>
                <c:formatCode>General</c:formatCode>
                <c:ptCount val="32"/>
                <c:pt idx="0">
                  <c:v>450</c:v>
                </c:pt>
                <c:pt idx="1">
                  <c:v>-70</c:v>
                </c:pt>
                <c:pt idx="2">
                  <c:v>-400</c:v>
                </c:pt>
                <c:pt idx="3">
                  <c:v>-300</c:v>
                </c:pt>
                <c:pt idx="4">
                  <c:v>1270</c:v>
                </c:pt>
                <c:pt idx="5">
                  <c:v>1094</c:v>
                </c:pt>
                <c:pt idx="6">
                  <c:v>-3000</c:v>
                </c:pt>
                <c:pt idx="7">
                  <c:v>-273</c:v>
                </c:pt>
                <c:pt idx="8">
                  <c:v>-2150</c:v>
                </c:pt>
                <c:pt idx="9">
                  <c:v>-860</c:v>
                </c:pt>
                <c:pt idx="10">
                  <c:v>-800</c:v>
                </c:pt>
                <c:pt idx="11">
                  <c:v>1500</c:v>
                </c:pt>
                <c:pt idx="12">
                  <c:v>-3000</c:v>
                </c:pt>
                <c:pt idx="13">
                  <c:v>550</c:v>
                </c:pt>
                <c:pt idx="14">
                  <c:v>-3500</c:v>
                </c:pt>
                <c:pt idx="15">
                  <c:v>100</c:v>
                </c:pt>
                <c:pt idx="16">
                  <c:v>-3500</c:v>
                </c:pt>
                <c:pt idx="17">
                  <c:v>1000</c:v>
                </c:pt>
                <c:pt idx="18">
                  <c:v>240</c:v>
                </c:pt>
                <c:pt idx="19">
                  <c:v>1373</c:v>
                </c:pt>
                <c:pt idx="20">
                  <c:v>7441</c:v>
                </c:pt>
                <c:pt idx="21">
                  <c:v>2630</c:v>
                </c:pt>
                <c:pt idx="22">
                  <c:v>-1570</c:v>
                </c:pt>
                <c:pt idx="23">
                  <c:v>400</c:v>
                </c:pt>
                <c:pt idx="24">
                  <c:v>500</c:v>
                </c:pt>
                <c:pt idx="25">
                  <c:v>100</c:v>
                </c:pt>
                <c:pt idx="26">
                  <c:v>-3500</c:v>
                </c:pt>
                <c:pt idx="27">
                  <c:v>-400</c:v>
                </c:pt>
                <c:pt idx="28">
                  <c:v>-4000</c:v>
                </c:pt>
                <c:pt idx="29">
                  <c:v>3940</c:v>
                </c:pt>
                <c:pt idx="30">
                  <c:v>-4000</c:v>
                </c:pt>
                <c:pt idx="31">
                  <c:v>-5000</c:v>
                </c:pt>
              </c:numCache>
            </c:numRef>
          </c:val>
          <c:smooth val="0"/>
          <c:extLst>
            <c:ext xmlns:c16="http://schemas.microsoft.com/office/drawing/2014/chart" uri="{C3380CC4-5D6E-409C-BE32-E72D297353CC}">
              <c16:uniqueId val="{00000008-6F04-4AC3-A367-EA405A02E5B0}"/>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Mois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layout>
        <c:manualLayout>
          <c:xMode val="edge"/>
          <c:yMode val="edge"/>
          <c:x val="7.7048556430446224E-2"/>
          <c:y val="0.3240740740740740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E-42AD-8D5D-6CC336FC39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7E-42AD-8D5D-6CC336FC39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7E-42AD-8D5D-6CC336FC39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E-42AD-8D5D-6CC336FC39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charts!$L$38:$L$41</c:f>
              <c:strCache>
                <c:ptCount val="3"/>
                <c:pt idx="0">
                  <c:v>Autres</c:v>
                </c:pt>
                <c:pt idx="1">
                  <c:v>Don</c:v>
                </c:pt>
                <c:pt idx="2">
                  <c:v>Freelancing</c:v>
                </c:pt>
              </c:strCache>
            </c:strRef>
          </c:cat>
          <c:val>
            <c:numRef>
              <c:f>charts!$M$38:$M$41</c:f>
              <c:numCache>
                <c:formatCode>General</c:formatCode>
                <c:ptCount val="3"/>
                <c:pt idx="0">
                  <c:v>1300</c:v>
                </c:pt>
                <c:pt idx="1">
                  <c:v>7859</c:v>
                </c:pt>
                <c:pt idx="2">
                  <c:v>18911</c:v>
                </c:pt>
              </c:numCache>
            </c:numRef>
          </c:val>
          <c:extLst>
            <c:ext xmlns:c16="http://schemas.microsoft.com/office/drawing/2014/chart" uri="{C3380CC4-5D6E-409C-BE32-E72D297353CC}">
              <c16:uniqueId val="{00000004-96E3-49B4-8988-044D7BFDE346}"/>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Copie.xlsm]charts!PivotTable25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charts!$E$137</c:f>
              <c:strCache>
                <c:ptCount val="1"/>
                <c:pt idx="0">
                  <c:v>Total</c:v>
                </c:pt>
              </c:strCache>
            </c:strRef>
          </c:tx>
          <c:spPr>
            <a:solidFill>
              <a:schemeClr val="accent1"/>
            </a:solidFill>
            <a:ln>
              <a:noFill/>
            </a:ln>
            <a:effectLst/>
          </c:spPr>
          <c:invertIfNegative val="0"/>
          <c:cat>
            <c:strRef>
              <c:f>charts!$D$138:$D$140</c:f>
              <c:strCache>
                <c:ptCount val="2"/>
                <c:pt idx="0">
                  <c:v>Banque</c:v>
                </c:pt>
                <c:pt idx="1">
                  <c:v>Portefeuille</c:v>
                </c:pt>
              </c:strCache>
            </c:strRef>
          </c:cat>
          <c:val>
            <c:numRef>
              <c:f>charts!$E$138:$E$140</c:f>
              <c:numCache>
                <c:formatCode>General</c:formatCode>
                <c:ptCount val="2"/>
                <c:pt idx="0">
                  <c:v>34960</c:v>
                </c:pt>
                <c:pt idx="1">
                  <c:v>6845</c:v>
                </c:pt>
              </c:numCache>
            </c:numRef>
          </c:val>
          <c:extLst>
            <c:ext xmlns:c16="http://schemas.microsoft.com/office/drawing/2014/chart" uri="{C3380CC4-5D6E-409C-BE32-E72D297353CC}">
              <c16:uniqueId val="{00000000-776D-46CE-8AB7-42F61414E61F}"/>
            </c:ext>
          </c:extLst>
        </c:ser>
        <c:dLbls>
          <c:showLegendKey val="0"/>
          <c:showVal val="0"/>
          <c:showCatName val="0"/>
          <c:showSerName val="0"/>
          <c:showPercent val="0"/>
          <c:showBubbleSize val="0"/>
        </c:dLbls>
        <c:gapWidth val="182"/>
        <c:axId val="2066533984"/>
        <c:axId val="2066535904"/>
      </c:barChart>
      <c:catAx>
        <c:axId val="2066533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5904"/>
        <c:crosses val="autoZero"/>
        <c:auto val="1"/>
        <c:lblAlgn val="ctr"/>
        <c:lblOffset val="100"/>
        <c:noMultiLvlLbl val="0"/>
      </c:catAx>
      <c:valAx>
        <c:axId val="2066535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3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825500</xdr:colOff>
          <xdr:row>1</xdr:row>
          <xdr:rowOff>76200</xdr:rowOff>
        </xdr:from>
        <xdr:to>
          <xdr:col>8</xdr:col>
          <xdr:colOff>622300</xdr:colOff>
          <xdr:row>3</xdr:row>
          <xdr:rowOff>101600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368300</xdr:colOff>
          <xdr:row>1</xdr:row>
          <xdr:rowOff>44450</xdr:rowOff>
        </xdr:from>
        <xdr:to>
          <xdr:col>13</xdr:col>
          <xdr:colOff>12700</xdr:colOff>
          <xdr:row>3</xdr:row>
          <xdr:rowOff>114300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165100</xdr:colOff>
          <xdr:row>0</xdr:row>
          <xdr:rowOff>38100</xdr:rowOff>
        </xdr:from>
        <xdr:to>
          <xdr:col>3</xdr:col>
          <xdr:colOff>2755900</xdr:colOff>
          <xdr:row>2</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120650</xdr:colOff>
          <xdr:row>1</xdr:row>
          <xdr:rowOff>6350</xdr:rowOff>
        </xdr:from>
        <xdr:to>
          <xdr:col>4</xdr:col>
          <xdr:colOff>2457450</xdr:colOff>
          <xdr:row>2</xdr:row>
          <xdr:rowOff>165100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150603</xdr:colOff>
      <xdr:row>32</xdr:row>
      <xdr:rowOff>62190</xdr:rowOff>
    </xdr:from>
    <xdr:to>
      <xdr:col>4</xdr:col>
      <xdr:colOff>234648</xdr:colOff>
      <xdr:row>41</xdr:row>
      <xdr:rowOff>148617</xdr:rowOff>
    </xdr:to>
    <xdr:sp macro="" textlink="">
      <xdr:nvSpPr>
        <xdr:cNvPr id="26" name="Rectangle: Rounded Corners 25">
          <a:extLst>
            <a:ext uri="{FF2B5EF4-FFF2-40B4-BE49-F238E27FC236}">
              <a16:creationId xmlns:a16="http://schemas.microsoft.com/office/drawing/2014/main" id="{00000000-0008-0000-0300-00001A000000}"/>
            </a:ext>
          </a:extLst>
        </xdr:cNvPr>
        <xdr:cNvSpPr/>
      </xdr:nvSpPr>
      <xdr:spPr>
        <a:xfrm>
          <a:off x="150603" y="7087722"/>
          <a:ext cx="2110641" cy="1788767"/>
        </a:xfrm>
        <a:prstGeom prst="roundRect">
          <a:avLst>
            <a:gd name="adj" fmla="val 8104"/>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145406</xdr:colOff>
      <xdr:row>14</xdr:row>
      <xdr:rowOff>45099</xdr:rowOff>
    </xdr:from>
    <xdr:to>
      <xdr:col>4</xdr:col>
      <xdr:colOff>229451</xdr:colOff>
      <xdr:row>31</xdr:row>
      <xdr:rowOff>121596</xdr:rowOff>
    </xdr:to>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145406" y="3665950"/>
          <a:ext cx="2110641" cy="3292029"/>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597647</xdr:colOff>
      <xdr:row>7</xdr:row>
      <xdr:rowOff>51838</xdr:rowOff>
    </xdr:from>
    <xdr:to>
      <xdr:col>19</xdr:col>
      <xdr:colOff>435785</xdr:colOff>
      <xdr:row>22</xdr:row>
      <xdr:rowOff>174314</xdr:rowOff>
    </xdr:to>
    <xdr:graphicFrame macro="">
      <xdr:nvGraphicFramePr>
        <xdr:cNvPr id="32" name="Chart 31">
          <a:extLst>
            <a:ext uri="{FF2B5EF4-FFF2-40B4-BE49-F238E27FC236}">
              <a16:creationId xmlns:a16="http://schemas.microsoft.com/office/drawing/2014/main" id="{00000000-0008-0000-0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38681</xdr:colOff>
      <xdr:row>1</xdr:row>
      <xdr:rowOff>104193</xdr:rowOff>
    </xdr:from>
    <xdr:to>
      <xdr:col>22</xdr:col>
      <xdr:colOff>25453</xdr:colOff>
      <xdr:row>6</xdr:row>
      <xdr:rowOff>51836</xdr:rowOff>
    </xdr:to>
    <mc:AlternateContent xmlns:mc="http://schemas.openxmlformats.org/markup-compatibility/2006" xmlns:a14="http://schemas.microsoft.com/office/drawing/2010/main">
      <mc:Choice Requires="a14">
        <xdr:graphicFrame macro="">
          <xdr:nvGraphicFramePr>
            <xdr:cNvPr id="33" name="Date (Month)">
              <a:extLst>
                <a:ext uri="{FF2B5EF4-FFF2-40B4-BE49-F238E27FC236}">
                  <a16:creationId xmlns:a16="http://schemas.microsoft.com/office/drawing/2014/main" id="{00000000-0008-0000-0300-000021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082014" y="1237232"/>
              <a:ext cx="5265988" cy="91882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260838</xdr:colOff>
      <xdr:row>14</xdr:row>
      <xdr:rowOff>174539</xdr:rowOff>
    </xdr:from>
    <xdr:to>
      <xdr:col>4</xdr:col>
      <xdr:colOff>92369</xdr:colOff>
      <xdr:row>31</xdr:row>
      <xdr:rowOff>0</xdr:rowOff>
    </xdr:to>
    <mc:AlternateContent xmlns:mc="http://schemas.openxmlformats.org/markup-compatibility/2006" xmlns:a14="http://schemas.microsoft.com/office/drawing/2010/main">
      <mc:Choice Requires="a14">
        <xdr:graphicFrame macro="">
          <xdr:nvGraphicFramePr>
            <xdr:cNvPr id="34" name="Caegorie">
              <a:extLst>
                <a:ext uri="{FF2B5EF4-FFF2-40B4-BE49-F238E27FC236}">
                  <a16:creationId xmlns:a16="http://schemas.microsoft.com/office/drawing/2014/main" id="{00000000-0008-0000-0300-000022000000}"/>
                </a:ext>
              </a:extLst>
            </xdr:cNvPr>
            <xdr:cNvGraphicFramePr/>
          </xdr:nvGraphicFramePr>
          <xdr:xfrm>
            <a:off x="0" y="0"/>
            <a:ext cx="0" cy="0"/>
          </xdr:xfrm>
          <a:graphic>
            <a:graphicData uri="http://schemas.microsoft.com/office/drawing/2010/slicer">
              <sle:slicer xmlns:sle="http://schemas.microsoft.com/office/drawing/2010/slicer" name="Caegorie"/>
            </a:graphicData>
          </a:graphic>
        </xdr:graphicFrame>
      </mc:Choice>
      <mc:Fallback xmlns="">
        <xdr:sp macro="" textlink="">
          <xdr:nvSpPr>
            <xdr:cNvPr id="0" name=""/>
            <xdr:cNvSpPr>
              <a:spLocks noTextEdit="1"/>
            </xdr:cNvSpPr>
          </xdr:nvSpPr>
          <xdr:spPr>
            <a:xfrm>
              <a:off x="260838" y="3772872"/>
              <a:ext cx="1861041" cy="300046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296348</xdr:colOff>
      <xdr:row>32</xdr:row>
      <xdr:rowOff>155615</xdr:rowOff>
    </xdr:from>
    <xdr:to>
      <xdr:col>4</xdr:col>
      <xdr:colOff>95741</xdr:colOff>
      <xdr:row>41</xdr:row>
      <xdr:rowOff>14062</xdr:rowOff>
    </xdr:to>
    <mc:AlternateContent xmlns:mc="http://schemas.openxmlformats.org/markup-compatibility/2006" xmlns:a14="http://schemas.microsoft.com/office/drawing/2010/main">
      <mc:Choice Requires="a14">
        <xdr:graphicFrame macro="">
          <xdr:nvGraphicFramePr>
            <xdr:cNvPr id="35" name="categorie 1">
              <a:extLst>
                <a:ext uri="{FF2B5EF4-FFF2-40B4-BE49-F238E27FC236}">
                  <a16:creationId xmlns:a16="http://schemas.microsoft.com/office/drawing/2014/main" id="{00000000-0008-0000-0300-000023000000}"/>
                </a:ext>
              </a:extLst>
            </xdr:cNvPr>
            <xdr:cNvGraphicFramePr/>
          </xdr:nvGraphicFramePr>
          <xdr:xfrm>
            <a:off x="0" y="0"/>
            <a:ext cx="0" cy="0"/>
          </xdr:xfrm>
          <a:graphic>
            <a:graphicData uri="http://schemas.microsoft.com/office/drawing/2010/slicer">
              <sle:slicer xmlns:sle="http://schemas.microsoft.com/office/drawing/2010/slicer" name="categorie 1"/>
            </a:graphicData>
          </a:graphic>
        </xdr:graphicFrame>
      </mc:Choice>
      <mc:Fallback xmlns="">
        <xdr:sp macro="" textlink="">
          <xdr:nvSpPr>
            <xdr:cNvPr id="0" name=""/>
            <xdr:cNvSpPr>
              <a:spLocks noTextEdit="1"/>
            </xdr:cNvSpPr>
          </xdr:nvSpPr>
          <xdr:spPr>
            <a:xfrm>
              <a:off x="296348" y="7115713"/>
              <a:ext cx="1828903" cy="153932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413676</xdr:colOff>
      <xdr:row>24</xdr:row>
      <xdr:rowOff>64796</xdr:rowOff>
    </xdr:from>
    <xdr:to>
      <xdr:col>19</xdr:col>
      <xdr:colOff>413677</xdr:colOff>
      <xdr:row>41</xdr:row>
      <xdr:rowOff>99608</xdr:rowOff>
    </xdr:to>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315085</xdr:colOff>
      <xdr:row>7</xdr:row>
      <xdr:rowOff>76231</xdr:rowOff>
    </xdr:from>
    <xdr:to>
      <xdr:col>12</xdr:col>
      <xdr:colOff>460687</xdr:colOff>
      <xdr:row>22</xdr:row>
      <xdr:rowOff>174314</xdr:rowOff>
    </xdr:to>
    <xdr:graphicFrame macro="">
      <xdr:nvGraphicFramePr>
        <xdr:cNvPr id="37" name="Chart 36">
          <a:extLst>
            <a:ext uri="{FF2B5EF4-FFF2-40B4-BE49-F238E27FC236}">
              <a16:creationId xmlns:a16="http://schemas.microsoft.com/office/drawing/2014/main" id="{00000000-0008-0000-0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108052</xdr:colOff>
      <xdr:row>6</xdr:row>
      <xdr:rowOff>162127</xdr:rowOff>
    </xdr:from>
    <xdr:to>
      <xdr:col>4</xdr:col>
      <xdr:colOff>192097</xdr:colOff>
      <xdr:row>13</xdr:row>
      <xdr:rowOff>134841</xdr:rowOff>
    </xdr:to>
    <xdr:sp macro="" textlink="">
      <xdr:nvSpPr>
        <xdr:cNvPr id="38" name="Rectangle: Rounded Corners 37">
          <a:extLst>
            <a:ext uri="{FF2B5EF4-FFF2-40B4-BE49-F238E27FC236}">
              <a16:creationId xmlns:a16="http://schemas.microsoft.com/office/drawing/2014/main" id="{00000000-0008-0000-0300-000026000000}"/>
            </a:ext>
          </a:extLst>
        </xdr:cNvPr>
        <xdr:cNvSpPr/>
      </xdr:nvSpPr>
      <xdr:spPr>
        <a:xfrm>
          <a:off x="108052" y="2269787"/>
          <a:ext cx="2110641" cy="1296756"/>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256559</xdr:colOff>
      <xdr:row>7</xdr:row>
      <xdr:rowOff>14938</xdr:rowOff>
    </xdr:from>
    <xdr:to>
      <xdr:col>4</xdr:col>
      <xdr:colOff>55584</xdr:colOff>
      <xdr:row>13</xdr:row>
      <xdr:rowOff>35233</xdr:rowOff>
    </xdr:to>
    <mc:AlternateContent xmlns:mc="http://schemas.openxmlformats.org/markup-compatibility/2006" xmlns:a14="http://schemas.microsoft.com/office/drawing/2010/main">
      <mc:Choice Requires="a14">
        <xdr:graphicFrame macro="">
          <xdr:nvGraphicFramePr>
            <xdr:cNvPr id="39" name="Date (Year)">
              <a:extLst>
                <a:ext uri="{FF2B5EF4-FFF2-40B4-BE49-F238E27FC236}">
                  <a16:creationId xmlns:a16="http://schemas.microsoft.com/office/drawing/2014/main" id="{00000000-0008-0000-0300-00002700000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256559" y="2305918"/>
              <a:ext cx="1828535" cy="114088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283723</xdr:colOff>
      <xdr:row>0</xdr:row>
      <xdr:rowOff>0</xdr:rowOff>
    </xdr:from>
    <xdr:to>
      <xdr:col>2</xdr:col>
      <xdr:colOff>202659</xdr:colOff>
      <xdr:row>1</xdr:row>
      <xdr:rowOff>27021</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3723" y="0"/>
          <a:ext cx="1161915" cy="116191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25400</xdr:colOff>
          <xdr:row>38</xdr:row>
          <xdr:rowOff>114300</xdr:rowOff>
        </xdr:from>
        <xdr:to>
          <xdr:col>21</xdr:col>
          <xdr:colOff>1244600</xdr:colOff>
          <xdr:row>41</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20</xdr:row>
          <xdr:rowOff>158750</xdr:rowOff>
        </xdr:from>
        <xdr:to>
          <xdr:col>21</xdr:col>
          <xdr:colOff>1270000</xdr:colOff>
          <xdr:row>23</xdr:row>
          <xdr:rowOff>12700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DEPENSE</a:t>
              </a:r>
            </a:p>
          </xdr:txBody>
        </xdr:sp>
        <xdr:clientData fPrintsWithSheet="0"/>
      </xdr:twoCellAnchor>
    </mc:Choice>
    <mc:Fallback/>
  </mc:AlternateContent>
  <xdr:twoCellAnchor>
    <xdr:from>
      <xdr:col>0</xdr:col>
      <xdr:colOff>0</xdr:colOff>
      <xdr:row>0</xdr:row>
      <xdr:rowOff>24901</xdr:rowOff>
    </xdr:from>
    <xdr:to>
      <xdr:col>23</xdr:col>
      <xdr:colOff>0</xdr:colOff>
      <xdr:row>1</xdr:row>
      <xdr:rowOff>37352</xdr:rowOff>
    </xdr:to>
    <xdr:grpSp>
      <xdr:nvGrpSpPr>
        <xdr:cNvPr id="5" name="Group 4">
          <a:extLst>
            <a:ext uri="{FF2B5EF4-FFF2-40B4-BE49-F238E27FC236}">
              <a16:creationId xmlns:a16="http://schemas.microsoft.com/office/drawing/2014/main" id="{EBC4951C-3D45-F14A-3AC1-FEA3BE80CB12}"/>
            </a:ext>
          </a:extLst>
        </xdr:cNvPr>
        <xdr:cNvGrpSpPr/>
      </xdr:nvGrpSpPr>
      <xdr:grpSpPr>
        <a:xfrm>
          <a:off x="0" y="24901"/>
          <a:ext cx="13945098" cy="1145490"/>
          <a:chOff x="37353" y="1469215"/>
          <a:chExt cx="11188038" cy="1145490"/>
        </a:xfrm>
      </xdr:grpSpPr>
      <xdr:sp macro="" textlink="">
        <xdr:nvSpPr>
          <xdr:cNvPr id="2" name="Rectangle 1">
            <a:extLst>
              <a:ext uri="{FF2B5EF4-FFF2-40B4-BE49-F238E27FC236}">
                <a16:creationId xmlns:a16="http://schemas.microsoft.com/office/drawing/2014/main" id="{B0BCC47D-ACB0-DFA2-9C8E-05EED11389A0}"/>
              </a:ext>
            </a:extLst>
          </xdr:cNvPr>
          <xdr:cNvSpPr/>
        </xdr:nvSpPr>
        <xdr:spPr>
          <a:xfrm>
            <a:off x="37353" y="1469215"/>
            <a:ext cx="11188038" cy="1145490"/>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 name="Picture 2">
            <a:extLst>
              <a:ext uri="{FF2B5EF4-FFF2-40B4-BE49-F238E27FC236}">
                <a16:creationId xmlns:a16="http://schemas.microsoft.com/office/drawing/2014/main" id="{3A54F36F-287B-4617-B17B-EF8BCC54EDE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2371" y="1514540"/>
            <a:ext cx="1038369" cy="1034824"/>
          </a:xfrm>
          <a:prstGeom prst="rect">
            <a:avLst/>
          </a:prstGeom>
          <a:ln>
            <a:noFill/>
          </a:ln>
        </xdr:spPr>
      </xdr:pic>
      <xdr:sp macro="" textlink="">
        <xdr:nvSpPr>
          <xdr:cNvPr id="4" name="TextBox 3">
            <a:extLst>
              <a:ext uri="{FF2B5EF4-FFF2-40B4-BE49-F238E27FC236}">
                <a16:creationId xmlns:a16="http://schemas.microsoft.com/office/drawing/2014/main" id="{B4BAEBFF-4885-CF46-F70C-F8F638AA6174}"/>
              </a:ext>
            </a:extLst>
          </xdr:cNvPr>
          <xdr:cNvSpPr txBox="1"/>
        </xdr:nvSpPr>
        <xdr:spPr>
          <a:xfrm>
            <a:off x="1931190" y="1581276"/>
            <a:ext cx="7732059" cy="896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solidFill>
                  <a:srgbClr val="FF9900"/>
                </a:solidFill>
                <a:latin typeface="Agency FB" panose="020B0503020202020204" pitchFamily="34" charset="0"/>
              </a:rPr>
              <a:t>Personnal Finance Dashboard</a:t>
            </a:r>
          </a:p>
        </xdr:txBody>
      </xdr:sp>
    </xdr:grpSp>
    <xdr:clientData/>
  </xdr:twoCellAnchor>
  <mc:AlternateContent xmlns:mc="http://schemas.openxmlformats.org/markup-compatibility/2006">
    <mc:Choice xmlns:a14="http://schemas.microsoft.com/office/drawing/2010/main" Requires="a14">
      <xdr:twoCellAnchor>
        <xdr:from>
          <xdr:col>19</xdr:col>
          <xdr:colOff>398432</xdr:colOff>
          <xdr:row>0</xdr:row>
          <xdr:rowOff>239806</xdr:rowOff>
        </xdr:from>
        <xdr:to>
          <xdr:col>21</xdr:col>
          <xdr:colOff>1050863</xdr:colOff>
          <xdr:row>0</xdr:row>
          <xdr:rowOff>908922</xdr:rowOff>
        </xdr:to>
        <xdr:sp macro="" textlink="">
          <xdr:nvSpPr>
            <xdr:cNvPr id="8198" name="Button 6" hidden="1">
              <a:extLst>
                <a:ext uri="{63B3BB69-23CF-44E3-9099-C40C66FF867C}">
                  <a14:compatExt spid="_x0000_s8198"/>
                </a:ext>
                <a:ext uri="{FF2B5EF4-FFF2-40B4-BE49-F238E27FC236}">
                  <a16:creationId xmlns:a16="http://schemas.microsoft.com/office/drawing/2014/main" id="{AA37A24D-659D-4FCC-7ADD-ED42948C4CF3}"/>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1800" b="0" i="0" u="none" strike="noStrike" baseline="0">
                  <a:solidFill>
                    <a:srgbClr val="000000"/>
                  </a:solidFill>
                  <a:latin typeface="Agency FB"/>
                </a:rPr>
                <a:t>RAFRAICHIR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527050</xdr:colOff>
      <xdr:row>1</xdr:row>
      <xdr:rowOff>50800</xdr:rowOff>
    </xdr:from>
    <xdr:to>
      <xdr:col>10</xdr:col>
      <xdr:colOff>222250</xdr:colOff>
      <xdr:row>16</xdr:row>
      <xdr:rowOff>31750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444500</xdr:colOff>
      <xdr:row>17</xdr:row>
      <xdr:rowOff>19050</xdr:rowOff>
    </xdr:from>
    <xdr:to>
      <xdr:col>10</xdr:col>
      <xdr:colOff>139700</xdr:colOff>
      <xdr:row>32</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350855</xdr:colOff>
      <xdr:row>108</xdr:row>
      <xdr:rowOff>98353</xdr:rowOff>
    </xdr:from>
    <xdr:to>
      <xdr:col>10</xdr:col>
      <xdr:colOff>36565</xdr:colOff>
      <xdr:row>122</xdr:row>
      <xdr:rowOff>76253</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527050</xdr:colOff>
      <xdr:row>66</xdr:row>
      <xdr:rowOff>61023</xdr:rowOff>
    </xdr:from>
    <xdr:to>
      <xdr:col>13</xdr:col>
      <xdr:colOff>190500</xdr:colOff>
      <xdr:row>81</xdr:row>
      <xdr:rowOff>41974</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55197</xdr:colOff>
      <xdr:row>34</xdr:row>
      <xdr:rowOff>75607</xdr:rowOff>
    </xdr:from>
    <xdr:to>
      <xdr:col>10</xdr:col>
      <xdr:colOff>30215</xdr:colOff>
      <xdr:row>49</xdr:row>
      <xdr:rowOff>56557</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816428</xdr:colOff>
      <xdr:row>126</xdr:row>
      <xdr:rowOff>104670</xdr:rowOff>
    </xdr:from>
    <xdr:to>
      <xdr:col>6</xdr:col>
      <xdr:colOff>355879</xdr:colOff>
      <xdr:row>133</xdr:row>
      <xdr:rowOff>125604</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esktop\INGENIEUR_CENTRALIEN\DATA_ANALYST\CODE_BASICS_BootCamp\EXCEL\Assignments\Exercice1\my_finances_Actuals.xlsx" TargetMode="External"/><Relationship Id="rId1" Type="http://schemas.openxmlformats.org/officeDocument/2006/relationships/externalLinkPath" Target="/Users/pc/Desktop/INGENIEUR_CENTRALIEN/DATA_ANALYST/CODE_BASICS_BootCamp/EXCEL/Assignments/Exercice1/my_finances_Actua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mé"/>
      <sheetName val="monResume"/>
      <sheetName val="Entrees"/>
      <sheetName val="Depenses"/>
      <sheetName val="Epargne"/>
      <sheetName val="charts"/>
      <sheetName val="my_finances_Actuals"/>
    </sheetNames>
    <sheetDataSet>
      <sheetData sheetId="0"/>
      <sheetData sheetId="1"/>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c/Desktop/INGENIEUR_CENTRALIEN/DATA_ANALYST/CODE_BASICS_BootCamp/EXCEL/Assignments/Exercice1/My_Finances_With_VBA%20(version%20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198611111" createdVersion="8" refreshedVersion="8" minRefreshableVersion="3" recordCount="5" xr:uid="{55ABD357-AD68-44F7-81E8-E47F3DACA06E}">
  <cacheSource type="worksheet">
    <worksheetSource ref="K8:L13" sheet="Depenses" r:id="rId2"/>
  </cacheSource>
  <cacheFields count="2">
    <cacheField name="Category" numFmtId="0">
      <sharedItems count="5">
        <s v="Transport"/>
        <s v="Internet"/>
        <s v="Dime"/>
        <s v="Nourriture"/>
        <s v="Offrande"/>
      </sharedItems>
    </cacheField>
    <cacheField name="Amount" numFmtId="0">
      <sharedItems containsSemiMixedTypes="0" containsString="0" containsNumber="1" minValue="10" maxValue="268.8999999999999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264467593" createdVersion="8" refreshedVersion="8" minRefreshableVersion="3" recordCount="47" xr:uid="{0F7F6F0F-1884-473C-8ADD-98FA221B1BFD}">
  <cacheSource type="worksheet">
    <worksheetSource name="mesdepenses"/>
  </cacheSource>
  <cacheFields count="5">
    <cacheField name="Date" numFmtId="16">
      <sharedItems containsNonDate="0" containsDate="1" containsString="0" containsBlank="1" minDate="2024-06-06T00:00:00" maxDate="2024-07-08T00:00:00"/>
    </cacheField>
    <cacheField name="Caegorie" numFmtId="0">
      <sharedItems containsBlank="1" count="7">
        <s v="Transport"/>
        <s v="Internet"/>
        <s v="Dime"/>
        <s v="Nourriture"/>
        <s v="Offrande"/>
        <s v="Accessoire"/>
        <m/>
      </sharedItems>
    </cacheField>
    <cacheField name="Description" numFmtId="0">
      <sharedItems containsBlank="1"/>
    </cacheField>
    <cacheField name="montant" numFmtId="0">
      <sharedItems containsString="0" containsBlank="1" containsNumber="1" minValue="3" maxValue="100"/>
    </cacheField>
    <cacheField name="montant_CFA" numFmtId="0">
      <sharedItems containsSemiMixedTypes="0" containsString="0" containsNumber="1" containsInteger="1" minValue="0" maxValue="6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66319442" backgroundQuery="1" createdVersion="8" refreshedVersion="8" minRefreshableVersion="3" recordCount="0" supportSubquery="1" supportAdvancedDrill="1" xr:uid="{523C9E48-0234-42FC-8AB8-E883833F387D}">
  <cacheSource type="external" connectionId="1"/>
  <cacheFields count="5">
    <cacheField name="[depense].[Caegorie].[Caegorie]" caption="Caegorie" numFmtId="0" hierarchy="8" level="1">
      <sharedItems count="12">
        <s v="Accessoires"/>
        <s v="Autre"/>
        <s v="Bus/taxi/train/avion"/>
        <s v="Carburant"/>
        <s v="Eau"/>
        <s v="Electricite"/>
        <s v="Gaz"/>
        <s v="Internet &amp; Phone"/>
        <s v="Loyer"/>
        <s v="maintenance"/>
        <s v="Nourriture externe"/>
        <s v="Nourriture interne"/>
      </sharedItems>
    </cacheField>
    <cacheField name="[Measures].[Sum of montant 2]" caption="Sum of montant 2" numFmtId="0" hierarchy="91" level="32767"/>
    <cacheField name="[Date].[Date (Year)].[Date (Year)]" caption="Date (Year)" numFmtId="0" hierarchy="1" level="1">
      <sharedItems containsSemiMixedTypes="0" containsNonDate="0" containsString="0"/>
    </cacheField>
    <cacheField name="[revenuXYZ].[categorie].[categorie]" caption="categorie" numFmtId="0" hierarchy="57"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4"/>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0"/>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3"/>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oneField="1" hidden="1">
      <fieldsUsage count="1">
        <fieldUsage x="1"/>
      </fieldsUsage>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68287036" backgroundQuery="1" createdVersion="8" refreshedVersion="8" minRefreshableVersion="3" recordCount="0" supportSubquery="1" supportAdvancedDrill="1" xr:uid="{4A1E32BE-C756-4F6D-A1C0-2EDC1F41A713}">
  <cacheSource type="external" connectionId="1"/>
  <cacheFields count="7">
    <cacheField name="[Measures].[TotalDepense]" caption="TotalDepense" numFmtId="0" hierarchy="80" level="32767"/>
    <cacheField name="[Measures].[TotalReste]" caption="TotalReste" numFmtId="0" hierarchy="81" level="32767"/>
    <cacheField name="[Measures].[TotalRevenue]" caption="TotalRevenue" numFmtId="0" hierarchy="79" level="32767"/>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6"/>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4"/>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5"/>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oneField="1">
      <fieldsUsage count="1">
        <fieldUsage x="2"/>
      </fieldsUsage>
    </cacheHierarchy>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70138891" backgroundQuery="1" createdVersion="8" refreshedVersion="8" minRefreshableVersion="3" recordCount="0" supportSubquery="1" supportAdvancedDrill="1" xr:uid="{93CBB688-5A89-4375-B6C5-8A59F03FB55F}">
  <cacheSource type="external" connectionId="1"/>
  <cacheFields count="5">
    <cacheField name="[Measures].[TotalRevenue]" caption="TotalRevenue" numFmtId="0" hierarchy="79" level="32767"/>
    <cacheField name="[revenuXYZ].[categorie].[categorie]" caption="categorie" numFmtId="0" hierarchy="57" level="1">
      <sharedItems count="4">
        <s v="Autres"/>
        <s v="Don"/>
        <s v="Freelancing"/>
        <s v="Salaire" u="1"/>
      </sharedItems>
    </cacheField>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4"/>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1"/>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71180553" backgroundQuery="1" createdVersion="8" refreshedVersion="8" minRefreshableVersion="3" recordCount="0" supportSubquery="1" supportAdvancedDrill="1" xr:uid="{BE7E07BD-99E2-4BD4-9FC0-B37AB2952DB6}">
  <cacheSource type="external" connectionId="1"/>
  <cacheFields count="5">
    <cacheField name="[Measures].[TotalDepense]" caption="TotalDepense" numFmtId="0" hierarchy="80" level="32767"/>
    <cacheField name="[Date].[Date (Month)].[Date (Month)]" caption="Date (Month)" numFmtId="0" hierarchy="3" level="1">
      <sharedItems count="11">
        <s v="janv"/>
        <s v="févr"/>
        <s v="mars"/>
        <s v="avr"/>
        <s v="mai"/>
        <s v="juin"/>
        <s v="juil"/>
        <s v="sept"/>
        <s v="oct"/>
        <s v="nov"/>
        <s v="déc"/>
      </sharedItems>
    </cacheField>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72685185" backgroundQuery="1" createdVersion="8" refreshedVersion="8" minRefreshableVersion="3" recordCount="0" supportSubquery="1" supportAdvancedDrill="1" xr:uid="{02505CD5-91F1-4E78-9D7D-3D28FE3DCFDC}">
  <cacheSource type="external" connectionId="1"/>
  <cacheFields count="5">
    <cacheField name="[Measures].[TotalDepense]" caption="TotalDepense" numFmtId="0" hierarchy="80" level="32767"/>
    <cacheField name="[Date].[Date (Month)].[Date (Month)]" caption="Date (Month)" numFmtId="0" hierarchy="3" level="1">
      <sharedItems count="11">
        <s v="janv"/>
        <s v="févr"/>
        <s v="mars"/>
        <s v="avr"/>
        <s v="mai"/>
        <s v="juin"/>
        <s v="juil"/>
        <s v="sept"/>
        <s v="oct"/>
        <s v="nov"/>
        <s v="déc"/>
      </sharedItems>
    </cacheField>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73726855" backgroundQuery="1" createdVersion="8" refreshedVersion="8" minRefreshableVersion="3" recordCount="0" supportSubquery="1" supportAdvancedDrill="1" xr:uid="{5E2F7CE2-7119-46D6-8D66-0C270495332B}">
  <cacheSource type="external" connectionId="1"/>
  <cacheFields count="5">
    <cacheField name="[Date].[Date (Month)].[Date (Month)]" caption="Date (Month)" numFmtId="0" hierarchy="3" level="1">
      <sharedItems count="9">
        <s v="janv"/>
        <s v="févr"/>
        <s v="mars"/>
        <s v="avr"/>
        <s v="mai"/>
        <s v="juin"/>
        <s v="juil"/>
        <s v="août"/>
        <s v="oct"/>
      </sharedItems>
    </cacheField>
    <cacheField name="[Measures].[TotalRevenue]" caption="TotalRevenue" numFmtId="0" hierarchy="79" level="32767"/>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78587966" backgroundQuery="1" createdVersion="8" refreshedVersion="8" minRefreshableVersion="3" recordCount="0" supportSubquery="1" supportAdvancedDrill="1" xr:uid="{6AFF2647-B01C-4E37-85FE-5E4C757DBB81}">
  <cacheSource type="external" connectionId="1"/>
  <cacheFields count="5">
    <cacheField name="[Measures].[Average of montant]" caption="Average of montant" numFmtId="0" hierarchy="92" level="32767"/>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1"/>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4"/>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2"/>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3"/>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oneField="1" hidden="1">
      <fieldsUsage count="1">
        <fieldUsage x="0"/>
      </fieldsUsage>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79629628" backgroundQuery="1" createdVersion="8" refreshedVersion="8" minRefreshableVersion="3" recordCount="0" supportSubquery="1" supportAdvancedDrill="1" xr:uid="{3BAB92D6-2E22-4232-950D-616BE8CFC890}">
  <cacheSource type="external" connectionId="1"/>
  <cacheFields count="5">
    <cacheField name="[Date].[Date (Month)].[Date (Month)]" caption="Date (Month)" numFmtId="0" hierarchy="3" level="1">
      <sharedItems count="12">
        <s v="janv"/>
        <s v="févr"/>
        <s v="mars"/>
        <s v="avr"/>
        <s v="mai"/>
        <s v="juin"/>
        <s v="juil"/>
        <s v="août"/>
        <s v="oct"/>
        <s v="sept" u="1"/>
        <s v="nov" u="1"/>
        <s v="déc" u="1"/>
      </sharedItems>
    </cacheField>
    <cacheField name="[Measures].[TotalRevenue]" caption="TotalRevenue" numFmtId="0" hierarchy="79" level="32767"/>
    <cacheField name="[Date].[Date (Year)].[Date (Year)]" caption="Date (Year)" numFmtId="0" hierarchy="1" level="1">
      <sharedItems containsSemiMixedTypes="0" containsNonDate="0" containsString="0"/>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81018521" backgroundQuery="1" createdVersion="8" refreshedVersion="8" minRefreshableVersion="3" recordCount="0" supportSubquery="1" supportAdvancedDrill="1" xr:uid="{8AD95976-A8D5-4B3C-B73D-12EAACFD0CD1}">
  <cacheSource type="external" connectionId="1"/>
  <cacheFields count="7">
    <cacheField name="[Measures].[TotalDepense]" caption="TotalDepense" numFmtId="0" hierarchy="80" level="32767"/>
    <cacheField name="[Measures].[TotalReste]" caption="TotalReste" numFmtId="0" hierarchy="81" level="32767"/>
    <cacheField name="[Date].[Date (Month)].[Date (Month)]" caption="Date (Month)" numFmtId="0" hierarchy="3" level="1">
      <sharedItems count="12">
        <s v="janv"/>
        <s v="févr"/>
        <s v="mars"/>
        <s v="avr"/>
        <s v="mai"/>
        <s v="juin"/>
        <s v="juil"/>
        <s v="août"/>
        <s v="sept"/>
        <s v="oct"/>
        <s v="nov"/>
        <s v="déc"/>
      </sharedItems>
    </cacheField>
    <cacheField name="[Date].[Date (Year)].[Date (Year)]" caption="Date (Year)" numFmtId="0" hierarchy="1" level="1">
      <sharedItems containsSemiMixedTypes="0" containsNonDate="0" containsString="0"/>
    </cacheField>
    <cacheField name="[Date].[week].[week]" caption="week" numFmtId="0" hierarchy="4" level="1">
      <sharedItems count="30">
        <s v="W 1"/>
        <s v="W 2"/>
        <s v="W 3"/>
        <s v="W 4"/>
        <s v="W 5"/>
        <s v="W 6"/>
        <s v="W 8"/>
        <s v="W 9"/>
        <s v="W 10"/>
        <s v="W 11"/>
        <s v="W 12"/>
        <s v="W 14"/>
        <s v="W 17"/>
        <s v="W 18"/>
        <s v="W 21"/>
        <s v="W 23"/>
        <s v="W 24"/>
        <s v="W 27"/>
        <s v="W 28"/>
        <s v="W 29"/>
        <s v="W 30"/>
        <s v="W 31"/>
        <s v="W 32"/>
        <s v="W 35"/>
        <s v="W 36"/>
        <s v="W 39"/>
        <s v="W 40"/>
        <s v="W 41"/>
        <s v="W 44"/>
        <s v="W 49"/>
      </sharedItems>
    </cacheField>
    <cacheField name="[depense].[Caegorie].[Caegorie]" caption="Caegorie" numFmtId="0" hierarchy="8" level="1">
      <sharedItems containsSemiMixedTypes="0" containsNonDate="0" containsString="0"/>
    </cacheField>
    <cacheField name="[revenuXYZ].[categorie].[categorie]" caption="categorie" numFmtId="0" hierarchy="57" level="1">
      <sharedItems containsSemiMixedTypes="0" containsNonDate="0" containsString="0"/>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2" memberValueDatatype="130" unbalanced="0">
      <fieldsUsage count="2">
        <fieldUsage x="-1"/>
        <fieldUsage x="4"/>
      </fieldsUsage>
    </cacheHierarchy>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5"/>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6"/>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84837962" backgroundQuery="1" createdVersion="8" refreshedVersion="8" minRefreshableVersion="3" recordCount="0" supportSubquery="1" supportAdvancedDrill="1" xr:uid="{A9D20C02-5FEE-4CE6-AB82-80265BA1AD2B}">
  <cacheSource type="external" connectionId="1"/>
  <cacheFields count="2">
    <cacheField name="[Measures].[TotalRevenue]" caption="TotalRevenue" numFmtId="0" hierarchy="79" level="32767"/>
    <cacheField name="[revenuXYZ].[source].[source]" caption="source" numFmtId="0" hierarchy="61" level="1">
      <sharedItems count="2">
        <s v="Banque"/>
        <s v="Portefeuille"/>
      </sharedItems>
    </cacheField>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2" memberValueDatatype="130" unbalanced="0">
      <fieldsUsage count="2">
        <fieldUsage x="-1"/>
        <fieldUsage x="1"/>
      </fieldsUsage>
    </cacheHierarchy>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85763886" backgroundQuery="1" createdVersion="8" refreshedVersion="8" minRefreshableVersion="3" recordCount="0" supportSubquery="1" supportAdvancedDrill="1" xr:uid="{64ED0ADB-1D1D-4AFD-9EB6-563FB800CB55}">
  <cacheSource type="external" connectionId="1"/>
  <cacheFields count="2">
    <cacheField name="[depense].[source].[source]" caption="source" numFmtId="0" hierarchy="7" level="1">
      <sharedItems count="2">
        <s v="Banque"/>
        <s v="Portefeuille"/>
      </sharedItems>
    </cacheField>
    <cacheField name="[Measures].[TotalDepense]" caption="TotalDepense" numFmtId="0" hierarchy="80" level="32767"/>
  </cacheFields>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2" memberValueDatatype="130" unbalanced="0">
      <fieldsUsage count="2">
        <fieldUsage x="-1"/>
        <fieldUsage x="0"/>
      </fieldsUsage>
    </cacheHierarchy>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1"/>
      </fieldsUsage>
    </cacheHierarchy>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dimensions count="8">
    <dimension name="Date" uniqueName="[Date]" caption="Date"/>
    <dimension name="depense" uniqueName="[depense]" caption="depens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7">
    <measureGroup name="Date" caption="Date"/>
    <measureGroup name="depense" caption="depense"/>
    <measureGroup name="maison" caption="maison"/>
    <measureGroup name="nourriture" caption="nourriture"/>
    <measureGroup name="revenue" caption="revenue"/>
    <measureGroup name="revenuXYZ" caption="revenuXYZ"/>
    <measureGroup name="transport" caption="transport"/>
  </measureGroups>
  <maps count="9">
    <map measureGroup="0" dimension="0"/>
    <map measureGroup="1" dimension="0"/>
    <map measureGroup="1" dimension="1"/>
    <map measureGroup="2" dimension="2"/>
    <map measureGroup="3" dimension="4"/>
    <map measureGroup="4" dimension="5"/>
    <map measureGroup="5" dimension="0"/>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503.030694907407" createdVersion="8" refreshedVersion="8" minRefreshableVersion="3" recordCount="54" xr:uid="{64B94CB0-88B5-4953-B6F8-37890EF35E61}">
  <cacheSource type="worksheet">
    <worksheetSource name="revenuXYZ"/>
  </cacheSource>
  <cacheFields count="8">
    <cacheField name="Date" numFmtId="16">
      <sharedItems containsSemiMixedTypes="0" containsNonDate="0" containsDate="1" containsString="0" minDate="2024-01-01T00:00:00" maxDate="2024-12-12T00:00:00"/>
    </cacheField>
    <cacheField name="mois" numFmtId="1">
      <sharedItems containsSemiMixedTypes="0" containsString="0" containsNumber="1" containsInteger="1" minValue="1" maxValue="12" count="12">
        <n v="1"/>
        <n v="2"/>
        <n v="3"/>
        <n v="4"/>
        <n v="5"/>
        <n v="6"/>
        <n v="7"/>
        <n v="10"/>
        <n v="9"/>
        <n v="12"/>
        <n v="8"/>
        <n v="11"/>
      </sharedItems>
    </cacheField>
    <cacheField name="categorie" numFmtId="0">
      <sharedItems/>
    </cacheField>
    <cacheField name="Description" numFmtId="0">
      <sharedItems containsBlank="1"/>
    </cacheField>
    <cacheField name="montant" numFmtId="0">
      <sharedItems containsSemiMixedTypes="0" containsString="0" containsNumber="1" containsInteger="1" minValue="2" maxValue="14000"/>
    </cacheField>
    <cacheField name="montant_CFA" numFmtId="0">
      <sharedItems containsString="0" containsBlank="1" containsNumber="1" minValue="120" maxValue="840000"/>
    </cacheField>
    <cacheField name="source" numFmtId="0">
      <sharedItems/>
    </cacheField>
    <cacheField name="ID" numFmtId="0">
      <sharedItems containsSemiMixedTypes="0" containsString="0" containsNumber="1" containsInteger="1" minValue="1" maxValue="54"/>
    </cacheField>
  </cacheFields>
  <extLst>
    <ext xmlns:x14="http://schemas.microsoft.com/office/spreadsheetml/2009/9/main" uri="{725AE2AE-9491-48be-B2B4-4EB974FC3084}">
      <x14:pivotCacheDefinition pivotCacheId="955928455"/>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3.030663194448" backgroundQuery="1" createdVersion="3" refreshedVersion="8" minRefreshableVersion="3" recordCount="0" supportSubquery="1" supportAdvancedDrill="1" xr:uid="{A8150A0E-785B-4F8D-A146-E36A2A6ECE20}">
  <cacheSource type="external" connectionId="1">
    <extLst>
      <ext xmlns:x14="http://schemas.microsoft.com/office/spreadsheetml/2009/9/main" uri="{F057638F-6D5F-4e77-A914-E7F072B9BCA8}">
        <x14:sourceConnection name="ThisWorkbookDataModel"/>
      </ext>
    </extLst>
  </cacheSource>
  <cacheFields count="0"/>
  <cacheHierarchies count="9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cacheHierarchy uniqueName="[Date].[week]" caption="week" attribute="1" defaultMemberUniqueName="[Date].[week].[All]" allUniqueName="[Date].[week].[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No measures defined]" caption="__No measures defined" measure="1" displayFolder="" count="0" hidden="1"/>
    <cacheHierarchy uniqueName="[Measures].[Sum of montant]" caption="Sum of montant" measure="1" displayFolder="" measureGroup="revenuXYZ" count="0" hidden="1">
      <extLst>
        <ext xmlns:x15="http://schemas.microsoft.com/office/spreadsheetml/2010/11/main" uri="{B97F6D7D-B522-45F9-BDA1-12C45D357490}">
          <x15:cacheHierarchy aggregatedColumn="59"/>
        </ext>
      </extLst>
    </cacheHierarchy>
    <cacheHierarchy uniqueName="[Measures].[Sum of montant 2]" caption="Sum of montant 2" measure="1" displayFolder="" measureGroup="depense" count="0" hidden="1">
      <extLst>
        <ext xmlns:x15="http://schemas.microsoft.com/office/spreadsheetml/2010/11/main" uri="{B97F6D7D-B522-45F9-BDA1-12C45D357490}">
          <x15:cacheHierarchy aggregatedColumn="10"/>
        </ext>
      </extLst>
    </cacheHierarchy>
    <cacheHierarchy uniqueName="[Measures].[Average of montant]" caption="Average of montant" measure="1" displayFolder="" measureGroup="depens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174339689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98"/>
  </r>
  <r>
    <x v="1"/>
    <n v="10"/>
  </r>
  <r>
    <x v="2"/>
    <n v="96"/>
  </r>
  <r>
    <x v="3"/>
    <n v="177"/>
  </r>
  <r>
    <x v="4"/>
    <n v="268.899999999999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d v="2024-06-06T00:00:00"/>
    <x v="0"/>
    <s v="en revenant de chez ange"/>
    <n v="50"/>
    <n v="3000"/>
  </r>
  <r>
    <d v="2024-06-06T00:00:00"/>
    <x v="1"/>
    <s v="recharge pour aller chez ange"/>
    <n v="5"/>
    <n v="300"/>
  </r>
  <r>
    <d v="2024-06-06T00:00:00"/>
    <x v="0"/>
    <s v="pour aller en visite chez Ange"/>
    <n v="13"/>
    <n v="780"/>
  </r>
  <r>
    <d v="2024-06-07T00:00:00"/>
    <x v="2"/>
    <s v="Dime de l'argent donné par florence et Ange"/>
    <n v="30"/>
    <n v="1800"/>
  </r>
  <r>
    <d v="2024-06-07T00:00:00"/>
    <x v="1"/>
    <s v="Recharge pour precher a la cellulevendredi"/>
    <n v="5"/>
    <n v="300"/>
  </r>
  <r>
    <d v="2024-06-07T00:00:00"/>
    <x v="3"/>
    <s v="Arachide"/>
    <n v="3.5"/>
    <n v="210"/>
  </r>
  <r>
    <d v="2024-06-09T00:00:00"/>
    <x v="4"/>
    <s v="Culte de dimanche"/>
    <n v="53"/>
    <n v="3180"/>
  </r>
  <r>
    <d v="2024-06-10T00:00:00"/>
    <x v="2"/>
    <s v="Dime sur les dons de M Yvette et Brice"/>
    <n v="20"/>
    <n v="1200"/>
  </r>
  <r>
    <d v="2024-06-10T00:00:00"/>
    <x v="3"/>
    <s v="Arachide"/>
    <n v="5"/>
    <n v="300"/>
  </r>
  <r>
    <d v="2024-06-11T00:00:00"/>
    <x v="3"/>
    <s v="Bouteille d'eau 1,5L"/>
    <n v="5"/>
    <n v="300"/>
  </r>
  <r>
    <d v="2024-06-11T00:00:00"/>
    <x v="3"/>
    <s v="Arachide"/>
    <n v="10"/>
    <n v="600"/>
  </r>
  <r>
    <d v="2024-06-12T00:00:00"/>
    <x v="3"/>
    <s v="Chocolat, gateau et Smoozy"/>
    <n v="10"/>
    <n v="600"/>
  </r>
  <r>
    <d v="2024-06-13T00:00:00"/>
    <x v="3"/>
    <s v="Sandwich"/>
    <n v="12"/>
    <n v="720"/>
  </r>
  <r>
    <d v="2024-06-13T00:00:00"/>
    <x v="2"/>
    <s v="reste en monaie de la dime passée"/>
    <n v="3"/>
    <n v="180"/>
  </r>
  <r>
    <d v="2024-06-14T00:00:00"/>
    <x v="0"/>
    <s v="Branly et moi chez papa Bai "/>
    <n v="10"/>
    <n v="600"/>
  </r>
  <r>
    <d v="2024-06-15T00:00:00"/>
    <x v="4"/>
    <s v="Indrive de Alain et Sarah apres la veillée "/>
    <n v="100"/>
    <n v="6000"/>
  </r>
  <r>
    <d v="2024-06-15T00:00:00"/>
    <x v="3"/>
    <s v="2 Smenes le matin en revenant de la veillée"/>
    <n v="5"/>
    <n v="300"/>
  </r>
  <r>
    <d v="2024-06-15T00:00:00"/>
    <x v="5"/>
    <s v="Lessive de mes Pulls"/>
    <n v="50"/>
    <n v="3000"/>
  </r>
  <r>
    <d v="2024-06-15T00:00:00"/>
    <x v="3"/>
    <s v="Jus de citron pour les thés"/>
    <n v="6"/>
    <n v="360"/>
  </r>
  <r>
    <d v="2024-06-16T00:00:00"/>
    <x v="4"/>
    <s v="Ange 10dh + une mandiantes 5dh"/>
    <n v="15"/>
    <n v="900"/>
  </r>
  <r>
    <d v="2024-06-16T00:00:00"/>
    <x v="0"/>
    <s v="Retour de KFC avec la team Paul"/>
    <n v="5"/>
    <n v="300"/>
  </r>
  <r>
    <d v="2024-06-16T00:00:00"/>
    <x v="3"/>
    <s v="Smoozy"/>
    <n v="6"/>
    <n v="360"/>
  </r>
  <r>
    <d v="2024-06-16T00:00:00"/>
    <x v="4"/>
    <s v="Culte de dimanche"/>
    <n v="9"/>
    <n v="540"/>
  </r>
  <r>
    <d v="2024-06-16T00:00:00"/>
    <x v="4"/>
    <s v="Pour les nouveaux apres culte"/>
    <n v="20.9"/>
    <n v="1254"/>
  </r>
  <r>
    <d v="2024-06-17T00:00:00"/>
    <x v="2"/>
    <s v="Don de Christelle et Papa Guillaume"/>
    <n v="15"/>
    <n v="900"/>
  </r>
  <r>
    <d v="2024-06-19T00:00:00"/>
    <x v="3"/>
    <s v="Sucre et croissant a BIM"/>
    <n v="11.5"/>
    <n v="690"/>
  </r>
  <r>
    <d v="2024-06-20T00:00:00"/>
    <x v="3"/>
    <s v="Biscuit"/>
    <n v="3"/>
    <n v="180"/>
  </r>
  <r>
    <d v="2024-06-23T00:00:00"/>
    <x v="0"/>
    <s v="En revenant de chez Rebecca"/>
    <n v="20"/>
    <n v="1200"/>
  </r>
  <r>
    <d v="2024-06-23T00:00:00"/>
    <x v="4"/>
    <s v="Pour les nouveaux apres culte"/>
    <n v="17"/>
    <n v="1020"/>
  </r>
  <r>
    <d v="2024-06-23T00:00:00"/>
    <x v="4"/>
    <s v="Culte de dimanche"/>
    <n v="10"/>
    <n v="600"/>
  </r>
  <r>
    <d v="2024-06-24T00:00:00"/>
    <x v="2"/>
    <s v="Dime sur les dons d Ingrid, Brice et P Guillaume"/>
    <n v="22"/>
    <n v="1320"/>
  </r>
  <r>
    <d v="2024-06-24T00:00:00"/>
    <x v="2"/>
    <s v="Dime sur les 30dh de papa Guillaume"/>
    <n v="3"/>
    <n v="180"/>
  </r>
  <r>
    <d v="2024-06-25T00:00:00"/>
    <x v="3"/>
    <s v="Cremy + gateau"/>
    <n v="7"/>
    <n v="420"/>
  </r>
  <r>
    <d v="2024-06-25T00:00:00"/>
    <x v="3"/>
    <s v="2 yaourts bleu de Sarah"/>
    <n v="6"/>
    <n v="360"/>
  </r>
  <r>
    <d v="2024-06-27T00:00:00"/>
    <x v="3"/>
    <s v="Jus de citron plus 2 croissanr"/>
    <n v="15"/>
    <n v="900"/>
  </r>
  <r>
    <d v="2024-06-28T00:00:00"/>
    <x v="5"/>
    <s v="Je me suis coiffé"/>
    <n v="20"/>
    <n v="1200"/>
  </r>
  <r>
    <d v="2024-06-28T00:00:00"/>
    <x v="3"/>
    <s v="Smoozy"/>
    <n v="6"/>
    <n v="360"/>
  </r>
  <r>
    <d v="2024-06-29T00:00:00"/>
    <x v="3"/>
    <s v="Tacos avec Rebecca"/>
    <n v="50"/>
    <n v="3000"/>
  </r>
  <r>
    <d v="2024-06-30T00:00:00"/>
    <x v="4"/>
    <s v="Culte de dimanche"/>
    <n v="10"/>
    <n v="600"/>
  </r>
  <r>
    <d v="2024-06-30T00:00:00"/>
    <x v="4"/>
    <s v="Nouveaux venus dimanche"/>
    <n v="17"/>
    <n v="1020"/>
  </r>
  <r>
    <d v="2024-06-30T00:00:00"/>
    <x v="4"/>
    <s v="Transport Ange"/>
    <n v="5"/>
    <n v="300"/>
  </r>
  <r>
    <d v="2024-07-03T00:00:00"/>
    <x v="3"/>
    <s v="Bouteille d'eau 1,5L"/>
    <n v="5"/>
    <n v="300"/>
  </r>
  <r>
    <d v="2024-07-04T00:00:00"/>
    <x v="3"/>
    <s v="Smoozy"/>
    <n v="6"/>
    <n v="360"/>
  </r>
  <r>
    <d v="2024-07-04T00:00:00"/>
    <x v="3"/>
    <s v="Bouteille d'eau 1,5L"/>
    <n v="5"/>
    <n v="300"/>
  </r>
  <r>
    <d v="2024-07-04T00:00:00"/>
    <x v="2"/>
    <s v="Dime sur les 30dh de papa Guillaume"/>
    <n v="3"/>
    <n v="180"/>
  </r>
  <r>
    <d v="2024-07-07T00:00:00"/>
    <x v="4"/>
    <s v="Offrande au culte du dimanche"/>
    <n v="12"/>
    <n v="720"/>
  </r>
  <r>
    <m/>
    <x v="6"/>
    <m/>
    <m/>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d v="2024-01-01T00:00:00"/>
    <x v="0"/>
    <s v="Salaire"/>
    <m/>
    <n v="10000"/>
    <m/>
    <s v="Banque"/>
    <n v="1"/>
  </r>
  <r>
    <d v="2024-01-02T00:00:00"/>
    <x v="0"/>
    <s v="Don"/>
    <m/>
    <n v="700"/>
    <m/>
    <s v="Portefeuille"/>
    <n v="2"/>
  </r>
  <r>
    <d v="2024-01-03T00:00:00"/>
    <x v="0"/>
    <s v="Autres"/>
    <m/>
    <n v="1000"/>
    <m/>
    <s v="Portefeuille"/>
    <n v="3"/>
  </r>
  <r>
    <d v="2024-01-04T00:00:00"/>
    <x v="0"/>
    <s v="Freelancing"/>
    <m/>
    <n v="1500"/>
    <m/>
    <s v="Banque"/>
    <n v="4"/>
  </r>
  <r>
    <d v="2024-01-05T00:00:00"/>
    <x v="0"/>
    <s v="Freelancing"/>
    <m/>
    <n v="400"/>
    <m/>
    <s v="Banque"/>
    <n v="5"/>
  </r>
  <r>
    <d v="2024-01-06T00:00:00"/>
    <x v="0"/>
    <s v="Don"/>
    <m/>
    <n v="200"/>
    <m/>
    <s v="Portefeuille"/>
    <n v="6"/>
  </r>
  <r>
    <d v="2024-01-07T00:00:00"/>
    <x v="0"/>
    <s v="Freelancing"/>
    <m/>
    <n v="800"/>
    <m/>
    <s v="Banque"/>
    <n v="7"/>
  </r>
  <r>
    <d v="2024-02-01T00:00:00"/>
    <x v="1"/>
    <s v="Salaire"/>
    <m/>
    <n v="10000"/>
    <m/>
    <s v="Banque"/>
    <n v="8"/>
  </r>
  <r>
    <d v="2024-02-02T00:00:00"/>
    <x v="1"/>
    <s v="Freelancing"/>
    <m/>
    <n v="1000"/>
    <m/>
    <s v="Banque"/>
    <n v="9"/>
  </r>
  <r>
    <d v="2024-02-03T00:00:00"/>
    <x v="1"/>
    <s v="Freelancing"/>
    <m/>
    <n v="400"/>
    <m/>
    <s v="Banque"/>
    <n v="10"/>
  </r>
  <r>
    <d v="2024-02-04T00:00:00"/>
    <x v="1"/>
    <s v="Don"/>
    <m/>
    <n v="300"/>
    <m/>
    <s v="Portefeuille"/>
    <n v="11"/>
  </r>
  <r>
    <d v="2024-02-05T00:00:00"/>
    <x v="1"/>
    <s v="Freelancing"/>
    <m/>
    <n v="450"/>
    <m/>
    <s v="Banque"/>
    <n v="12"/>
  </r>
  <r>
    <d v="2024-03-01T00:00:00"/>
    <x v="2"/>
    <s v="Salaire"/>
    <m/>
    <n v="10200"/>
    <m/>
    <s v="Banque"/>
    <n v="13"/>
  </r>
  <r>
    <d v="2024-03-02T00:00:00"/>
    <x v="2"/>
    <s v="Freelancing"/>
    <m/>
    <n v="1300"/>
    <m/>
    <s v="Banque"/>
    <n v="14"/>
  </r>
  <r>
    <d v="2024-03-03T00:00:00"/>
    <x v="2"/>
    <s v="Freelancing"/>
    <m/>
    <n v="1000"/>
    <m/>
    <s v="Banque"/>
    <n v="15"/>
  </r>
  <r>
    <d v="2024-04-01T00:00:00"/>
    <x v="3"/>
    <s v="Salaire"/>
    <m/>
    <n v="10100"/>
    <m/>
    <s v="Banque"/>
    <n v="16"/>
  </r>
  <r>
    <d v="2024-04-22T00:00:00"/>
    <x v="3"/>
    <s v="Don"/>
    <m/>
    <n v="550"/>
    <m/>
    <s v="Portefeuille"/>
    <n v="17"/>
  </r>
  <r>
    <d v="2024-05-19T00:00:00"/>
    <x v="4"/>
    <s v="Freelancing"/>
    <m/>
    <n v="100"/>
    <m/>
    <s v="Banque"/>
    <n v="18"/>
  </r>
  <r>
    <d v="2024-06-30T00:00:00"/>
    <x v="5"/>
    <s v="Don"/>
    <m/>
    <n v="240"/>
    <m/>
    <s v="Portefeuille"/>
    <n v="19"/>
  </r>
  <r>
    <d v="2024-07-01T00:00:00"/>
    <x v="6"/>
    <s v="Salaire"/>
    <m/>
    <n v="12500"/>
    <m/>
    <s v="Banque"/>
    <n v="20"/>
  </r>
  <r>
    <d v="2024-07-02T00:00:00"/>
    <x v="6"/>
    <s v="Freelancing"/>
    <m/>
    <n v="1350"/>
    <m/>
    <s v="Banque"/>
    <n v="21"/>
  </r>
  <r>
    <d v="2024-07-15T00:00:00"/>
    <x v="6"/>
    <s v="Freelancing"/>
    <m/>
    <n v="1000"/>
    <m/>
    <s v="Banque"/>
    <n v="22"/>
  </r>
  <r>
    <d v="2024-07-16T00:00:00"/>
    <x v="6"/>
    <s v="Freelancing"/>
    <m/>
    <n v="1200"/>
    <m/>
    <s v="Banque"/>
    <n v="23"/>
  </r>
  <r>
    <d v="2024-07-17T00:00:00"/>
    <x v="6"/>
    <s v="Don"/>
    <m/>
    <n v="430"/>
    <m/>
    <s v="Portefeuille"/>
    <n v="24"/>
  </r>
  <r>
    <d v="2024-07-10T00:00:00"/>
    <x v="6"/>
    <s v="Freelancing"/>
    <m/>
    <n v="2000"/>
    <m/>
    <s v="Banque"/>
    <n v="25"/>
  </r>
  <r>
    <d v="2024-07-11T00:00:00"/>
    <x v="6"/>
    <s v="Don"/>
    <s v="Don venant d'un Ami de longue Date "/>
    <n v="230"/>
    <m/>
    <s v="Portefeuille"/>
    <n v="26"/>
  </r>
  <r>
    <d v="2024-02-04T00:00:00"/>
    <x v="1"/>
    <s v="Don"/>
    <m/>
    <n v="344"/>
    <m/>
    <s v="Portefeuille"/>
    <n v="27"/>
  </r>
  <r>
    <d v="2024-07-10T00:00:00"/>
    <x v="6"/>
    <s v="Salaire"/>
    <m/>
    <n v="2000"/>
    <m/>
    <s v="Banque"/>
    <n v="28"/>
  </r>
  <r>
    <d v="2024-07-10T00:00:00"/>
    <x v="6"/>
    <s v="Freelancing"/>
    <s v="free"/>
    <n v="3211"/>
    <m/>
    <s v="Banque"/>
    <n v="29"/>
  </r>
  <r>
    <d v="2024-07-10T00:00:00"/>
    <x v="6"/>
    <s v="Salaire"/>
    <s v="Salaire mensuel"/>
    <n v="10000"/>
    <m/>
    <s v="Banque"/>
    <n v="30"/>
  </r>
  <r>
    <d v="2024-10-10T00:00:00"/>
    <x v="7"/>
    <s v="Don"/>
    <s v="jdsjb"/>
    <n v="120"/>
    <m/>
    <s v="Portefeuille"/>
    <n v="31"/>
  </r>
  <r>
    <d v="2024-07-11T00:00:00"/>
    <x v="6"/>
    <s v="Freelancing"/>
    <s v="Freelancing"/>
    <n v="2000"/>
    <m/>
    <s v="Banque"/>
    <n v="32"/>
  </r>
  <r>
    <d v="2024-10-08T00:00:00"/>
    <x v="7"/>
    <s v="Don"/>
    <s v="Don venant d un Ami de longue date"/>
    <n v="3200"/>
    <m/>
    <s v="Portefeuille"/>
    <n v="33"/>
  </r>
  <r>
    <d v="2024-10-08T00:00:00"/>
    <x v="7"/>
    <s v="Don"/>
    <s v="Don venant d'una maman de l'église "/>
    <n v="320"/>
    <m/>
    <s v="Portefeuille"/>
    <n v="34"/>
  </r>
  <r>
    <d v="2024-09-11T00:00:00"/>
    <x v="8"/>
    <s v="Salaire"/>
    <s v="nnnnnnnnn"/>
    <n v="13000"/>
    <n v="780000"/>
    <s v="Banque"/>
    <n v="35"/>
  </r>
  <r>
    <d v="2024-12-11T00:00:00"/>
    <x v="9"/>
    <s v="Salaire"/>
    <s v="ddddddddd"/>
    <n v="14000"/>
    <n v="840000"/>
    <s v="Banque"/>
    <n v="36"/>
  </r>
  <r>
    <d v="2024-06-11T00:00:00"/>
    <x v="5"/>
    <s v="Freelancing"/>
    <s v="freeeee"/>
    <n v="1000"/>
    <n v="60000"/>
    <s v="Banque"/>
    <n v="37"/>
  </r>
  <r>
    <d v="2024-07-11T00:00:00"/>
    <x v="6"/>
    <s v="Salaire"/>
    <s v="gvgv"/>
    <n v="55"/>
    <n v="3300"/>
    <s v="Banque"/>
    <n v="38"/>
  </r>
  <r>
    <d v="2024-07-11T00:00:00"/>
    <x v="6"/>
    <s v="Salaire"/>
    <s v="hbhbh"/>
    <n v="66"/>
    <n v="3960"/>
    <s v="Banque"/>
    <n v="39"/>
  </r>
  <r>
    <d v="2024-08-01T00:00:00"/>
    <x v="10"/>
    <s v="Don"/>
    <s v="kewgiwg"/>
    <n v="200"/>
    <n v="131191.4"/>
    <s v="Portefeuille"/>
    <n v="40"/>
  </r>
  <r>
    <d v="2024-08-06T00:00:00"/>
    <x v="10"/>
    <s v="Don"/>
    <s v="wfewgjbrg"/>
    <n v="200"/>
    <n v="131191.4"/>
    <s v="Portefeuille"/>
    <n v="41"/>
  </r>
  <r>
    <d v="2024-08-06T00:00:00"/>
    <x v="10"/>
    <s v="Don"/>
    <m/>
    <n v="200"/>
    <n v="131191.4"/>
    <s v="Portefeuille"/>
    <n v="42"/>
  </r>
  <r>
    <d v="2024-07-02T00:00:00"/>
    <x v="6"/>
    <s v="Don"/>
    <s v="kndsg"/>
    <n v="23"/>
    <n v="15087.011"/>
    <s v="Portefeuille"/>
    <n v="43"/>
  </r>
  <r>
    <d v="2024-03-02T00:00:00"/>
    <x v="2"/>
    <s v="Don"/>
    <s v="kjdsb"/>
    <n v="200"/>
    <n v="131191.4"/>
    <s v="Portefeuille"/>
    <n v="44"/>
  </r>
  <r>
    <d v="2024-08-02T00:00:00"/>
    <x v="10"/>
    <s v="Don"/>
    <s v="adfjbf"/>
    <n v="200"/>
    <n v="131191.4"/>
    <s v="Portefeuille"/>
    <n v="45"/>
  </r>
  <r>
    <d v="2024-08-07T00:00:00"/>
    <x v="10"/>
    <s v="Don"/>
    <s v="bbbbbbbbb"/>
    <n v="100"/>
    <n v="65595.7"/>
    <s v="Portefeuille"/>
    <n v="46"/>
  </r>
  <r>
    <d v="2024-10-09T00:00:00"/>
    <x v="7"/>
    <s v="Autres"/>
    <s v="kkkkkkkkkkkkkkkkkkkakpeu"/>
    <n v="300"/>
    <n v="18000"/>
    <s v="Portefeuille"/>
    <n v="47"/>
  </r>
  <r>
    <d v="2024-07-25T00:00:00"/>
    <x v="6"/>
    <s v="Salaire"/>
    <s v="GOOD"/>
    <n v="1000"/>
    <n v="60000"/>
    <s v="Banque"/>
    <n v="48"/>
  </r>
  <r>
    <d v="2024-07-25T00:00:00"/>
    <x v="6"/>
    <s v="Freelancing"/>
    <s v="YES"/>
    <n v="200"/>
    <n v="12000"/>
    <s v="Banque"/>
    <n v="49"/>
  </r>
  <r>
    <d v="2024-11-25T00:00:00"/>
    <x v="11"/>
    <s v="Salaire"/>
    <s v="SALAIRE"/>
    <n v="13000"/>
    <n v="780000"/>
    <s v="Banque"/>
    <n v="50"/>
  </r>
  <r>
    <d v="2024-02-26T00:00:00"/>
    <x v="1"/>
    <s v="Salaire"/>
    <m/>
    <n v="10000"/>
    <n v="600000"/>
    <s v="Banque"/>
    <n v="51"/>
  </r>
  <r>
    <d v="2024-07-26T00:00:00"/>
    <x v="6"/>
    <s v="Don"/>
    <s v="TEST"/>
    <n v="2"/>
    <n v="120"/>
    <s v="Portefeuille"/>
    <n v="52"/>
  </r>
  <r>
    <d v="2024-11-26T00:00:00"/>
    <x v="11"/>
    <s v="Salaire"/>
    <s v="Salaire Novembre"/>
    <n v="10000"/>
    <n v="600000"/>
    <s v="Banque"/>
    <n v="53"/>
  </r>
  <r>
    <d v="2024-08-27T00:00:00"/>
    <x v="10"/>
    <s v="Don"/>
    <s v="Don venant d'une personne"/>
    <n v="100"/>
    <n v="6000"/>
    <s v="Portefeuille"/>
    <n v="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00BE65-A42C-4CA5-A41A-9435B08B86B2}" name="PivotTable20" cacheId="603" applyNumberFormats="0" applyBorderFormats="0" applyFontFormats="0" applyPatternFormats="0" applyAlignmentFormats="0" applyWidthHeightFormats="1" dataCaption="Values" tag="ac940428-deae-4cb2-887c-0dd02c56ecff" updatedVersion="8" minRefreshableVersion="3" useAutoFormatting="1" subtotalHiddenItems="1" itemPrintTitles="1" createdVersion="8" indent="0" outline="1" outlineData="1" multipleFieldFilters="0" rowHeaderCaption="Mois">
  <location ref="U8:V20" firstHeaderRow="1" firstDataRow="1" firstDataCol="1"/>
  <pivotFields count="5">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2">
    <i>
      <x/>
    </i>
    <i>
      <x v="1"/>
    </i>
    <i>
      <x v="2"/>
    </i>
    <i>
      <x v="3"/>
    </i>
    <i>
      <x v="4"/>
    </i>
    <i>
      <x v="5"/>
    </i>
    <i>
      <x v="6"/>
    </i>
    <i>
      <x v="7"/>
    </i>
    <i>
      <x v="8"/>
    </i>
    <i>
      <x v="9"/>
    </i>
    <i>
      <x v="10"/>
    </i>
    <i t="grand">
      <x/>
    </i>
  </rowItems>
  <colItems count="1">
    <i/>
  </colItems>
  <dataFields count="1">
    <dataField name="Depense" fld="0" subtotal="count" baseField="1" baseItem="0"/>
  </dataFields>
  <conditionalFormats count="1">
    <conditionalFormat priority="1">
      <pivotAreas count="1">
        <pivotArea type="data" collapsedLevelsAreSubtotals="1" fieldPosition="0">
          <references count="2">
            <reference field="4294967294" count="1" selected="0">
              <x v="0"/>
            </reference>
            <reference field="1" count="4">
              <x v="0"/>
              <x v="1"/>
              <x v="6"/>
              <x v="7"/>
            </reference>
          </references>
        </pivotArea>
      </pivotAreas>
    </conditionalFormat>
  </conditionalFormat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Depens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105FB4-51C5-47BE-8AF6-ECE898A5BB5A}" name="PivotTable22" cacheId="615" applyNumberFormats="0" applyBorderFormats="0" applyFontFormats="0" applyPatternFormats="0" applyAlignmentFormats="0" applyWidthHeightFormats="1" dataCaption="Values" tag="cbb1bfae-25c6-4180-871e-30b8bd4a77da" updatedVersion="8" minRefreshableVersion="3" useAutoFormatting="1" subtotalHiddenItems="1" itemPrintTitles="1" createdVersion="8" indent="0" outline="1" outlineData="1" multipleFieldFilters="0" rowHeaderCaption="Mois">
  <location ref="U25:V35"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t="grand">
      <x/>
    </i>
  </rowItems>
  <colItems count="1">
    <i/>
  </colItems>
  <dataFields count="1">
    <dataField name="Revenue" fld="1" subtotal="count" baseField="0" baseItem="0"/>
  </dataFields>
  <conditionalFormats count="1">
    <conditionalFormat priority="2">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2D23D1-96B6-4684-9AB2-A090E081C362}" name="PivotTable18" cacheId="600" applyNumberFormats="0" applyBorderFormats="0" applyFontFormats="0" applyPatternFormats="0" applyAlignmentFormats="0" applyWidthHeightFormats="1" dataCaption="Values" tag="52e55d15-46e5-4387-9562-dda74a0dd707" updatedVersion="8" minRefreshableVersion="3" useAutoFormatting="1" subtotalHiddenItems="1" itemPrintTitles="1" createdVersion="8" indent="0" outline="1" outlineData="1" multipleFieldFilters="0" chartFormat="3">
  <location ref="L37:M41" firstHeaderRow="1" firstDataRow="1" firstDataCol="1"/>
  <pivotFields count="5">
    <pivotField dataField="1" subtotalTop="0" showAll="0" defaultSubtotal="0"/>
    <pivotField axis="axisRow" allDrilled="1" subtotalTop="0" showAll="0" dataSourceSort="1" defaultSubtotal="0" defaultAttributeDrillState="1">
      <items count="4">
        <item s="1" x="0"/>
        <item s="1" x="1"/>
        <item s="1"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 count="1" selected="0">
            <x v="0"/>
          </reference>
        </references>
      </pivotArea>
    </chartFormat>
    <chartFormat chart="2" format="11">
      <pivotArea type="data" outline="0" fieldPosition="0">
        <references count="2">
          <reference field="4294967294" count="1" selected="0">
            <x v="0"/>
          </reference>
          <reference field="1" count="1" selected="0">
            <x v="1"/>
          </reference>
        </references>
      </pivotArea>
    </chartFormat>
    <chartFormat chart="2" format="13">
      <pivotArea type="data" outline="0" fieldPosition="0">
        <references count="2">
          <reference field="4294967294" count="1" selected="0">
            <x v="0"/>
          </reference>
          <reference field="1" count="1" selected="0">
            <x v="2"/>
          </reference>
        </references>
      </pivotArea>
    </chartFormat>
    <chartFormat chart="2" format="14">
      <pivotArea type="data" outline="0" fieldPosition="0">
        <references count="2">
          <reference field="4294967294" count="1" selected="0">
            <x v="0"/>
          </reference>
          <reference field="1" count="1" selected="0">
            <x v="3"/>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venuXYZ]"/>
        <x15:activeTabTopLevelEntity name="[Dat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D9890A-64E8-4AC7-8AA5-5041600DCF92}" name="PivotTable21" cacheId="609" applyNumberFormats="0" applyBorderFormats="0" applyFontFormats="0" applyPatternFormats="0" applyAlignmentFormats="0" applyWidthHeightFormats="1" dataCaption="Values" tag="28bf26ab-4b33-4005-b73a-0cfc77d142d6" updatedVersion="8" minRefreshableVersion="3" useAutoFormatting="1" itemPrintTitles="1" createdVersion="8" indent="0" outline="1" outlineData="1" multipleFieldFilters="0">
  <location ref="J93:K103" firstHeaderRow="1" firstDataRow="1" firstDataCol="1"/>
  <pivotFields count="5">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t="grand">
      <x/>
    </i>
  </rowItems>
  <colItems count="1">
    <i/>
  </colItems>
  <dataFields count="1">
    <dataField fld="1" subtotal="count" baseField="0" baseItem="0"/>
  </dataField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67F14EA-7168-4807-B6C7-96668963F59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9:B27" firstHeaderRow="1" firstDataRow="1" firstDataCol="1"/>
  <pivotFields count="5">
    <pivotField showAll="0"/>
    <pivotField name="Categories" axis="axisRow" showAll="0">
      <items count="8">
        <item x="5"/>
        <item x="2"/>
        <item x="1"/>
        <item x="3"/>
        <item x="4"/>
        <item x="0"/>
        <item x="6"/>
        <item t="default"/>
      </items>
    </pivotField>
    <pivotField showAll="0"/>
    <pivotField dataField="1" showAll="0"/>
    <pivotField showAll="0"/>
  </pivotFields>
  <rowFields count="1">
    <field x="1"/>
  </rowFields>
  <rowItems count="8">
    <i>
      <x/>
    </i>
    <i>
      <x v="1"/>
    </i>
    <i>
      <x v="2"/>
    </i>
    <i>
      <x v="3"/>
    </i>
    <i>
      <x v="4"/>
    </i>
    <i>
      <x v="5"/>
    </i>
    <i>
      <x v="6"/>
    </i>
    <i t="grand">
      <x/>
    </i>
  </rowItems>
  <colItems count="1">
    <i/>
  </colItems>
  <dataFields count="1">
    <dataField name="les depenses" fld="3" baseField="1"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B458C8-818F-4994-9EA5-813362B217B4}" name="PivotTable14" cacheId="6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5:A57" firstHeaderRow="1" firstDataRow="1" firstDataCol="1"/>
  <pivotFields count="8">
    <pivotField numFmtId="16" showAll="0"/>
    <pivotField axis="axisRow" numFmtId="1" showAll="0">
      <items count="13">
        <item x="0"/>
        <item h="1" x="1"/>
        <item h="1" x="2"/>
        <item h="1" x="3"/>
        <item h="1" x="4"/>
        <item h="1" x="5"/>
        <item h="1" x="6"/>
        <item h="1" x="10"/>
        <item h="1" x="8"/>
        <item h="1" x="7"/>
        <item h="1" x="11"/>
        <item h="1" x="9"/>
        <item t="default"/>
      </items>
    </pivotField>
    <pivotField showAll="0"/>
    <pivotField showAll="0"/>
    <pivotField showAll="0"/>
    <pivotField showAll="0"/>
    <pivotField showAll="0"/>
    <pivotField showAll="0"/>
  </pivotFields>
  <rowFields count="1">
    <field x="1"/>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DFA3A-F204-44C6-9908-CA42B052D395}" name="PivotTable13" cacheId="6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6:C53" firstHeaderRow="1" firstDataRow="1" firstDataCol="0"/>
  <pivotFields count="8">
    <pivotField numFmtId="16" showAll="0"/>
    <pivotField numFmtId="1"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8FA0362-E3B2-4D8B-8C9C-12789C15392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2">
    <pivotField axis="axisRow" showAll="0">
      <items count="6">
        <item x="2"/>
        <item x="1"/>
        <item x="3"/>
        <item x="4"/>
        <item x="0"/>
        <item t="default"/>
      </items>
    </pivotField>
    <pivotField dataField="1" showAll="0"/>
  </pivotFields>
  <rowFields count="1">
    <field x="0"/>
  </rowFields>
  <rowItems count="6">
    <i>
      <x/>
    </i>
    <i>
      <x v="1"/>
    </i>
    <i>
      <x v="2"/>
    </i>
    <i>
      <x v="3"/>
    </i>
    <i>
      <x v="4"/>
    </i>
    <i t="grand">
      <x/>
    </i>
  </rowItems>
  <colItems count="1">
    <i/>
  </colItems>
  <dataFields count="1">
    <dataField name="Sum of Amount" fld="1" baseField="0" baseItem="0"/>
  </dataFields>
  <chartFormats count="12">
    <chartFormat chart="0"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0"/>
          </reference>
          <reference field="0" count="1" selected="0">
            <x v="1"/>
          </reference>
        </references>
      </pivotArea>
    </chartFormat>
    <chartFormat chart="6" format="10">
      <pivotArea type="data" outline="0" fieldPosition="0">
        <references count="2">
          <reference field="4294967294" count="1" selected="0">
            <x v="0"/>
          </reference>
          <reference field="0" count="1" selected="0">
            <x v="2"/>
          </reference>
        </references>
      </pivotArea>
    </chartFormat>
    <chartFormat chart="6" format="11">
      <pivotArea type="data" outline="0" fieldPosition="0">
        <references count="2">
          <reference field="4294967294" count="1" selected="0">
            <x v="0"/>
          </reference>
          <reference field="0" count="1" selected="0">
            <x v="3"/>
          </reference>
        </references>
      </pivotArea>
    </chartFormat>
    <chartFormat chart="6" format="12">
      <pivotArea type="data" outline="0" fieldPosition="0">
        <references count="2">
          <reference field="4294967294" count="1" selected="0">
            <x v="0"/>
          </reference>
          <reference field="0" count="1" selected="0">
            <x v="4"/>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96F5A20-B988-4159-85E8-E886747DB3CE}" name="PivotTable15" cacheId="618" applyNumberFormats="0" applyBorderFormats="0" applyFontFormats="0" applyPatternFormats="0" applyAlignmentFormats="0" applyWidthHeightFormats="1" dataCaption="Values" tag="cee34d93-f1d8-45cd-91ff-5ae2cabad6f2" updatedVersion="8" minRefreshableVersion="3" useAutoFormatting="1" subtotalHiddenItems="1" itemPrintTitles="1" createdVersion="8" indent="0" outline="1" outlineData="1" multipleFieldFilters="0" chartFormat="3">
  <location ref="AA68:AC113"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allDrilled="1" subtotalTop="0" showAll="0" dataSourceSort="1" defaultSubtotal="0" defaultAttributeDrillState="1"/>
  </pivotFields>
  <rowFields count="2">
    <field x="2"/>
    <field x="4"/>
  </rowFields>
  <rowItems count="45">
    <i>
      <x/>
    </i>
    <i r="1">
      <x/>
    </i>
    <i r="1">
      <x v="1"/>
    </i>
    <i r="1">
      <x v="2"/>
    </i>
    <i r="1">
      <x v="3"/>
    </i>
    <i>
      <x v="1"/>
    </i>
    <i r="1">
      <x v="4"/>
    </i>
    <i r="1">
      <x v="5"/>
    </i>
    <i r="1">
      <x v="6"/>
    </i>
    <i r="1">
      <x v="7"/>
    </i>
    <i>
      <x v="2"/>
    </i>
    <i r="1">
      <x v="8"/>
    </i>
    <i r="1">
      <x v="9"/>
    </i>
    <i r="1">
      <x v="10"/>
    </i>
    <i r="1">
      <x v="7"/>
    </i>
    <i>
      <x v="3"/>
    </i>
    <i r="1">
      <x v="11"/>
    </i>
    <i r="1">
      <x v="12"/>
    </i>
    <i>
      <x v="4"/>
    </i>
    <i r="1">
      <x v="13"/>
    </i>
    <i r="1">
      <x v="14"/>
    </i>
    <i>
      <x v="5"/>
    </i>
    <i r="1">
      <x v="15"/>
    </i>
    <i r="1">
      <x v="16"/>
    </i>
    <i r="1">
      <x v="17"/>
    </i>
    <i>
      <x v="6"/>
    </i>
    <i r="1">
      <x v="17"/>
    </i>
    <i r="1">
      <x v="18"/>
    </i>
    <i r="1">
      <x v="19"/>
    </i>
    <i r="1">
      <x v="20"/>
    </i>
    <i>
      <x v="7"/>
    </i>
    <i r="1">
      <x v="21"/>
    </i>
    <i r="1">
      <x v="22"/>
    </i>
    <i r="1">
      <x v="23"/>
    </i>
    <i>
      <x v="8"/>
    </i>
    <i r="1">
      <x v="24"/>
    </i>
    <i r="1">
      <x v="25"/>
    </i>
    <i>
      <x v="9"/>
    </i>
    <i r="1">
      <x v="26"/>
    </i>
    <i r="1">
      <x v="27"/>
    </i>
    <i>
      <x v="10"/>
    </i>
    <i r="1">
      <x v="28"/>
    </i>
    <i>
      <x v="11"/>
    </i>
    <i r="1">
      <x v="29"/>
    </i>
    <i t="grand">
      <x/>
    </i>
  </rowItems>
  <colFields count="1">
    <field x="-2"/>
  </colFields>
  <colItems count="2">
    <i>
      <x/>
    </i>
    <i i="1">
      <x v="1"/>
    </i>
  </colItems>
  <dataFields count="2">
    <dataField name="Depense" fld="0" subtotal="count" baseField="0" baseItem="0"/>
    <dataField name="Difference" fld="1"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caption="Depense"/>
    <pivotHierarchy dragToRow="0" dragToCol="0" dragToPage="0" dragToData="1" caption="Dif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3"/>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revenuXYZ]"/>
        <x15:activeTabTopLevelEntity name="[depense]"/>
        <x15:activeTabTopLevelEntity name="[revenu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1CD7F2A-E6BA-44F5-A392-80616C789539}" name="PivotTable25" cacheId="624" applyNumberFormats="0" applyBorderFormats="0" applyFontFormats="0" applyPatternFormats="0" applyAlignmentFormats="0" applyWidthHeightFormats="1" dataCaption="Values" tag="c9944dae-4180-4e38-9dde-ef9c790ed160" updatedVersion="8" minRefreshableVersion="3" useAutoFormatting="1" itemPrintTitles="1" createdVersion="8" indent="0" outline="1" outlineData="1" multipleFieldFilters="0" chartFormat="1">
  <location ref="D137:E140"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9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2AB03AA-48AD-489A-93E6-47F03E87EDBB}" name="PivotTable23" cacheId="612" applyNumberFormats="0" applyBorderFormats="0" applyFontFormats="0" applyPatternFormats="0" applyAlignmentFormats="0" applyWidthHeightFormats="1" dataCaption="Values" tag="c94f4ade-8473-4b50-b3ae-3669b17d9852" updatedVersion="8" minRefreshableVersion="3" useAutoFormatting="1" itemPrintTitles="1" createdVersion="8" indent="0" outline="1" outlineData="1" multipleFieldFilters="0">
  <location ref="Q71:Q72"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montant" fld="0" subtotal="average" baseField="0" baseItem="0"/>
  </dataField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montant"/>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84A567A-4B30-42E3-8DF7-E72D06187CA9}" name="PivotTable19" cacheId="606" applyNumberFormats="0" applyBorderFormats="0" applyFontFormats="0" applyPatternFormats="0" applyAlignmentFormats="0" applyWidthHeightFormats="1" dataCaption="Values" tag="fc3f5709-6724-4789-812a-5c2801acdad2" updatedVersion="8" minRefreshableVersion="3" useAutoFormatting="1" itemPrintTitles="1" createdVersion="8" indent="0" outline="1" outlineData="1" multipleFieldFilters="0">
  <location ref="F93:G105" firstHeaderRow="1" firstDataRow="1" firstDataCol="1"/>
  <pivotFields count="5">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2">
    <i>
      <x/>
    </i>
    <i>
      <x v="1"/>
    </i>
    <i>
      <x v="2"/>
    </i>
    <i>
      <x v="3"/>
    </i>
    <i>
      <x v="4"/>
    </i>
    <i>
      <x v="5"/>
    </i>
    <i>
      <x v="6"/>
    </i>
    <i>
      <x v="7"/>
    </i>
    <i>
      <x v="8"/>
    </i>
    <i>
      <x v="9"/>
    </i>
    <i>
      <x v="10"/>
    </i>
    <i t="grand">
      <x/>
    </i>
  </rowItems>
  <colItems count="1">
    <i/>
  </colItems>
  <dataFields count="1">
    <dataField fld="0" subtotal="count" baseField="0" baseItem="0"/>
  </dataField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9FCED34-1644-46E3-97D9-6AD2476DA61B}" name="PivotTable17" cacheId="597" applyNumberFormats="0" applyBorderFormats="0" applyFontFormats="0" applyPatternFormats="0" applyAlignmentFormats="0" applyWidthHeightFormats="1" dataCaption="Values" tag="5c0dfb66-f35d-4852-baa9-5f9236245097" updatedVersion="8" minRefreshableVersion="3" useAutoFormatting="1" subtotalHiddenItems="1" itemPrintTitles="1" createdVersion="8" indent="0" outline="1" outlineData="1" multipleFieldFilters="0">
  <location ref="A88:C89" firstHeaderRow="0" firstDataRow="1" firstDataCol="0"/>
  <pivotFields count="7">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BB93A47-9712-494D-8F34-6A64DAF2C86B}" name="PivotTable24" cacheId="621" applyNumberFormats="0" applyBorderFormats="0" applyFontFormats="0" applyPatternFormats="0" applyAlignmentFormats="0" applyWidthHeightFormats="1" dataCaption="Values" tag="e1ae4145-43bf-4317-b7bf-2429abb96d5e" updatedVersion="8" minRefreshableVersion="3" useAutoFormatting="1" itemPrintTitles="1" createdVersion="8" indent="0" outline="1" outlineData="1" multipleFieldFilters="0">
  <location ref="A137:B140"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pivotHierarchies count="9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F8C2495-13A6-47AC-9CF4-D81DC31CE57B}" name="PivotTable16" cacheId="594" applyNumberFormats="0" applyBorderFormats="0" applyFontFormats="0" applyPatternFormats="0" applyAlignmentFormats="0" applyWidthHeightFormats="1" dataCaption="Values" tag="a84e857c-afcf-4afa-ba78-0b3c2197fb7a" updatedVersion="8" minRefreshableVersion="3" useAutoFormatting="1" subtotalHiddenItems="1" itemPrintTitles="1" createdVersion="8" indent="0" outline="1" outlineData="1" multipleFieldFilters="0" chartFormat="5">
  <location ref="A112:B125"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montant" fld="1" baseField="0" baseItem="0"/>
  </dataFields>
  <chartFormats count="2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8"/>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4"/>
          </reference>
        </references>
      </pivotArea>
    </chartFormat>
    <chartFormat chart="0" format="5">
      <pivotArea type="data" outline="0" fieldPosition="0">
        <references count="2">
          <reference field="4294967294" count="1" selected="0">
            <x v="0"/>
          </reference>
          <reference field="0" count="1" selected="0">
            <x v="5"/>
          </reference>
        </references>
      </pivotArea>
    </chartFormat>
    <chartFormat chart="0" format="6">
      <pivotArea type="data" outline="0" fieldPosition="0">
        <references count="2">
          <reference field="4294967294" count="1" selected="0">
            <x v="0"/>
          </reference>
          <reference field="0" count="1" selected="0">
            <x v="7"/>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0" count="1" selected="0">
            <x v="0"/>
          </reference>
        </references>
      </pivotArea>
    </chartFormat>
    <chartFormat chart="2" format="16">
      <pivotArea type="data" outline="0" fieldPosition="0">
        <references count="2">
          <reference field="4294967294" count="1" selected="0">
            <x v="0"/>
          </reference>
          <reference field="0" count="1" selected="0">
            <x v="2"/>
          </reference>
        </references>
      </pivotArea>
    </chartFormat>
    <chartFormat chart="2" format="17">
      <pivotArea type="data" outline="0" fieldPosition="0">
        <references count="2">
          <reference field="4294967294" count="1" selected="0">
            <x v="0"/>
          </reference>
          <reference field="0" count="1" selected="0">
            <x v="4"/>
          </reference>
        </references>
      </pivotArea>
    </chartFormat>
    <chartFormat chart="2" format="18">
      <pivotArea type="data" outline="0" fieldPosition="0">
        <references count="2">
          <reference field="4294967294" count="1" selected="0">
            <x v="0"/>
          </reference>
          <reference field="0" count="1" selected="0">
            <x v="5"/>
          </reference>
        </references>
      </pivotArea>
    </chartFormat>
    <chartFormat chart="2" format="19">
      <pivotArea type="data" outline="0" fieldPosition="0">
        <references count="2">
          <reference field="4294967294" count="1" selected="0">
            <x v="0"/>
          </reference>
          <reference field="0" count="1" selected="0">
            <x v="7"/>
          </reference>
        </references>
      </pivotArea>
    </chartFormat>
    <chartFormat chart="2" format="20">
      <pivotArea type="data" outline="0" fieldPosition="0">
        <references count="2">
          <reference field="4294967294" count="1" selected="0">
            <x v="0"/>
          </reference>
          <reference field="0" count="1" selected="0">
            <x v="8"/>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3"/>
          </reference>
        </references>
      </pivotArea>
    </chartFormat>
    <chartFormat chart="0" format="9">
      <pivotArea type="data" outline="0" fieldPosition="0">
        <references count="2">
          <reference field="4294967294" count="1" selected="0">
            <x v="0"/>
          </reference>
          <reference field="0" count="1" selected="0">
            <x v="6"/>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2" format="21">
      <pivotArea type="data" outline="0" fieldPosition="0">
        <references count="2">
          <reference field="4294967294" count="1" selected="0">
            <x v="0"/>
          </reference>
          <reference field="0" count="1" selected="0">
            <x v="1"/>
          </reference>
        </references>
      </pivotArea>
    </chartFormat>
    <chartFormat chart="2" format="22">
      <pivotArea type="data" outline="0" fieldPosition="0">
        <references count="2">
          <reference field="4294967294" count="1" selected="0">
            <x v="0"/>
          </reference>
          <reference field="0" count="1" selected="0">
            <x v="3"/>
          </reference>
        </references>
      </pivotArea>
    </chartFormat>
    <chartFormat chart="2" format="23">
      <pivotArea type="data" outline="0" fieldPosition="0">
        <references count="2">
          <reference field="4294967294" count="1" selected="0">
            <x v="0"/>
          </reference>
          <reference field="0" count="1" selected="0">
            <x v="6"/>
          </reference>
        </references>
      </pivotArea>
    </chartFormat>
    <chartFormat chart="2" format="24">
      <pivotArea type="data" outline="0" fieldPosition="0">
        <references count="2">
          <reference field="4294967294" count="1" selected="0">
            <x v="0"/>
          </reference>
          <reference field="0" count="1" selected="0">
            <x v="9"/>
          </reference>
        </references>
      </pivotArea>
    </chartFormat>
    <chartFormat chart="2" format="25">
      <pivotArea type="data" outline="0" fieldPosition="0">
        <references count="2">
          <reference field="4294967294" count="1" selected="0">
            <x v="0"/>
          </reference>
          <reference field="0" count="1" selected="0">
            <x v="10"/>
          </reference>
        </references>
      </pivotArea>
    </chartFormat>
    <chartFormat chart="2" format="26">
      <pivotArea type="data" outline="0" fieldPosition="0">
        <references count="2">
          <reference field="4294967294" count="1" selected="0">
            <x v="0"/>
          </reference>
          <reference field="0" count="1" selected="0">
            <x v="11"/>
          </reference>
        </references>
      </pivotArea>
    </chartFormat>
  </chartFormats>
  <pivotHierarchies count="9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venuXYZ].[categorie].&amp;[Autres]"/>
        <member name="[revenuXYZ].[categorie].&amp;[Don]"/>
        <member name="[revenuXYZ].[categorie].&amp;[Freelanc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954DE07-89CD-4E9E-8730-78F04AB7E92F}" sourceName="[Date].[Date (Month)]">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1743396893">
      <levels count="2">
        <level uniqueName="[Date].[Date (Month)].[(All)]" sourceCaption="(All)" count="0"/>
        <level uniqueName="[Date].[Date (Month)].[Date (Month)]" sourceCaption="Date (Month)" count="12">
          <ranges>
            <range startItem="0">
              <i n="[Date].[Date (Month)].&amp;[janv]" c="janv"/>
              <i n="[Date].[Date (Month)].&amp;[févr]" c="févr"/>
              <i n="[Date].[Date (Month)].&amp;[mars]" c="mars"/>
              <i n="[Date].[Date (Month)].&amp;[avr]" c="avr"/>
              <i n="[Date].[Date (Month)].&amp;[mai]" c="mai"/>
              <i n="[Date].[Date (Month)].&amp;[juin]" c="juin"/>
              <i n="[Date].[Date (Month)].&amp;[juil]" c="juil"/>
              <i n="[Date].[Date (Month)].&amp;[août]" c="août"/>
              <i n="[Date].[Date (Month)].&amp;[sept]" c="sept"/>
              <i n="[Date].[Date (Month)].&amp;[oct]" c="oct"/>
              <i n="[Date].[Date (Month)].&amp;[nov]" c="nov"/>
              <i n="[Date].[Date (Month)].&amp;[déc]" c="déc"/>
            </range>
          </ranges>
        </level>
      </levels>
      <selections count="1">
        <selection n="[Date].[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egorie" xr10:uid="{A2D1FEBB-257C-460D-924F-D0EC92BED698}" sourceName="[depense].[Caegorie]">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1743396893">
      <levels count="2">
        <level uniqueName="[depense].[Caegorie].[(All)]" sourceCaption="(All)" count="0"/>
        <level uniqueName="[depense].[Caegorie].[Caegorie]" sourceCaption="Caegorie" count="12" sortOrder="ascending">
          <ranges>
            <range startItem="0">
              <i n="[depense].[Caegorie].&amp;[Accessoires]" c="Accessoires"/>
              <i n="[depense].[Caegorie].&amp;[Autre]" c="Autre"/>
              <i n="[depense].[Caegorie].&amp;[Bus/taxi/train/avion]" c="Bus/taxi/train/avion"/>
              <i n="[depense].[Caegorie].&amp;[Carburant]" c="Carburant"/>
              <i n="[depense].[Caegorie].&amp;[Eau]" c="Eau"/>
              <i n="[depense].[Caegorie].&amp;[Electricite]" c="Electricite"/>
              <i n="[depense].[Caegorie].&amp;[Gaz]" c="Gaz"/>
              <i n="[depense].[Caegorie].&amp;[Internet &amp; Phone]" c="Internet &amp; Phone"/>
              <i n="[depense].[Caegorie].&amp;[Loyer]" c="Loyer"/>
              <i n="[depense].[Caegorie].&amp;[maintenance]" c="maintenance"/>
              <i n="[depense].[Caegorie].&amp;[Nourriture externe]" c="Nourriture externe"/>
              <i n="[depense].[Caegorie].&amp;[Nourriture interne]" c="Nourriture interne"/>
            </range>
          </ranges>
        </level>
      </levels>
      <selections count="1">
        <selection n="[depense].[Caegori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1" xr10:uid="{ED40F50F-A72A-4062-8FBA-A81FD8B2532A}" sourceName="[revenuXYZ].[categorie]">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1743396893">
      <levels count="2">
        <level uniqueName="[revenuXYZ].[categorie].[(All)]" sourceCaption="(All)" count="0"/>
        <level uniqueName="[revenuXYZ].[categorie].[categorie]" sourceCaption="categorie" count="4">
          <ranges>
            <range startItem="0">
              <i n="[revenuXYZ].[categorie].&amp;[Autres]" c="Autres"/>
              <i n="[revenuXYZ].[categorie].&amp;[Don]" c="Don"/>
              <i n="[revenuXYZ].[categorie].&amp;[Freelancing]" c="Freelancing"/>
              <i n="[revenuXYZ].[categorie].&amp;[Salaire]" c="Salaire"/>
            </range>
          </ranges>
        </level>
      </levels>
      <selections count="3">
        <selection n="[revenuXYZ].[categorie].&amp;[Autres]"/>
        <selection n="[revenuXYZ].[categorie].&amp;[Don]"/>
        <selection n="[revenuXYZ].[categorie].&amp;[Freelancing]"/>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A5800B3-DF06-4D5D-9207-97697ACD6DC7}" sourceName="[Date].[Date (Year)]">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1743396893">
      <levels count="2">
        <level uniqueName="[Date].[Date (Year)].[(All)]" sourceCaption="(All)" count="0"/>
        <level uniqueName="[Date].[Date (Year)].[Date (Year)]" sourceCaption="Date (Year)" count="3">
          <ranges>
            <range startItem="0">
              <i n="[Date].[Date (Year)].&amp;[2024]" c="2024"/>
              <i n="[Date].[Date (Year)].&amp;[2025]" c="2025" nd="1"/>
              <i n="[Date].[Date (Year)].&amp;[2026]" c="2026" nd="1"/>
            </range>
          </ranges>
        </level>
      </levels>
      <selections count="1">
        <selection n="[Dat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9565FB56-21EA-489E-BF6C-8CF50BD65529}" cache="Slicer_Date__Month" caption="Mois" columnCount="6" level="1" style="Slicer Style 2" rowHeight="251883"/>
  <slicer name="Caegorie" xr10:uid="{C1B4FCD8-F82E-42C2-AABE-21549864D046}" cache="Slicer_Caegorie" caption="Categ Dépenses" startItem="1" level="1" style="Slicer Style 2" rowHeight="251883"/>
  <slicer name="categorie 1" xr10:uid="{0B37AFD3-E2FF-4B45-8336-F2D08E5E7DF6}" cache="Slicer_categorie1" caption="categ Revenue" level="1" style="Slicer Style 2" rowHeight="251883"/>
  <slicer name="Date (Year)" xr10:uid="{DB3EC1E3-BF37-47D4-95C5-F78625DDF027}" cache="Slicer_Date__Year" caption="Années" level="1" style="Slicer Style 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F8C9FE-D97B-41F0-A034-BE17F1A1C94D}" name="revenue" displayName="revenue" ref="B6:O11" totalsRowCount="1" headerRowDxfId="163" dataDxfId="161" totalsRowDxfId="159" headerRowBorderDxfId="162" tableBorderDxfId="160">
  <autoFilter ref="B6:O10" xr:uid="{CEF8C9FE-D97B-41F0-A034-BE17F1A1C94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2F3F0EF3-6A82-4C86-A7C3-A95479A4760A}" name="Elements" totalsRowLabel="Total" dataDxfId="158" totalsRowDxfId="157"/>
    <tableColumn id="2" xr3:uid="{AF10DFEE-97DD-4FE4-8027-7EB39DFABD4E}" name="Janv." totalsRowFunction="custom" dataDxfId="156" totalsRowDxfId="155">
      <calculatedColumnFormula>SUMIFS(revenuXYZ[montant],revenuXYZ[categorie],$B7,revenuXYZ[mois],1)</calculatedColumnFormula>
      <totalsRowFormula>SUM(revenue[Janv.])</totalsRowFormula>
    </tableColumn>
    <tableColumn id="3" xr3:uid="{606D8253-3B50-4E66-86E7-430715136C46}" name="Fev." totalsRowFunction="custom" dataDxfId="154" totalsRowDxfId="153">
      <calculatedColumnFormula>SUMIFS(revenuXYZ[montant],revenuXYZ[categorie],$B7,revenuXYZ[mois],2)</calculatedColumnFormula>
      <totalsRowFormula>SUM(revenue[Fev.])</totalsRowFormula>
    </tableColumn>
    <tableColumn id="4" xr3:uid="{26BC2698-F834-45F4-92DD-9CF312DC4271}" name="Mars." totalsRowFunction="custom" dataDxfId="152" totalsRowDxfId="151">
      <calculatedColumnFormula>SUMIFS(revenuXYZ[montant],revenuXYZ[categorie],$B7,revenuXYZ[mois],3)</calculatedColumnFormula>
      <totalsRowFormula>SUM(revenue[Mars.])</totalsRowFormula>
    </tableColumn>
    <tableColumn id="5" xr3:uid="{B7747402-24A9-4631-9F75-209809784D42}" name="Avril" totalsRowFunction="custom" dataDxfId="150" totalsRowDxfId="149">
      <calculatedColumnFormula>SUMIFS(revenuXYZ[montant],revenuXYZ[categorie],$B7,revenuXYZ[mois],4)</calculatedColumnFormula>
      <totalsRowFormula>SUM(revenue[Avril])</totalsRowFormula>
    </tableColumn>
    <tableColumn id="6" xr3:uid="{8DEBCB99-DD69-44B5-B15F-8026BF3AF6EB}" name="Mai" totalsRowFunction="custom" dataDxfId="148" totalsRowDxfId="147">
      <calculatedColumnFormula>SUMIFS(revenuXYZ[montant],revenuXYZ[categorie],$B7,revenuXYZ[mois],5)</calculatedColumnFormula>
      <totalsRowFormula>SUM(revenue[Mai])</totalsRowFormula>
    </tableColumn>
    <tableColumn id="7" xr3:uid="{7B3FD5FC-47F9-4512-B23E-49C3CCBD60AF}" name="Juin" totalsRowFunction="custom" dataDxfId="146" totalsRowDxfId="145">
      <calculatedColumnFormula>SUMIFS(revenuXYZ[montant],revenuXYZ[categorie],$B7,revenuXYZ[mois],6)</calculatedColumnFormula>
      <totalsRowFormula>SUM(revenue[Juin])</totalsRowFormula>
    </tableColumn>
    <tableColumn id="8" xr3:uid="{B89EC784-3D26-400E-89FA-43BE0F86A2A2}" name="Juillet" totalsRowFunction="custom" dataDxfId="144" totalsRowDxfId="143">
      <calculatedColumnFormula>SUMIFS(revenuXYZ[montant],revenuXYZ[categorie],$B7,revenuXYZ[mois],7)</calculatedColumnFormula>
      <totalsRowFormula>SUM(revenue[Juillet])</totalsRowFormula>
    </tableColumn>
    <tableColumn id="9" xr3:uid="{B7941D4D-DEC7-4E54-880E-7BFF286C3018}" name="Aout" totalsRowFunction="custom" dataDxfId="142" totalsRowDxfId="141">
      <calculatedColumnFormula>SUMIFS(revenuXYZ[montant],revenuXYZ[categorie],$B7,revenuXYZ[mois],8)</calculatedColumnFormula>
      <totalsRowFormula>SUM(revenue[Aout])</totalsRowFormula>
    </tableColumn>
    <tableColumn id="10" xr3:uid="{B538AAF0-4B03-4A63-B2B8-D71DE3A9D194}" name="Sept." totalsRowFunction="custom" dataDxfId="140" totalsRowDxfId="139">
      <calculatedColumnFormula>SUMIFS(revenuXYZ[montant],revenuXYZ[categorie],$B7,revenuXYZ[mois],9)</calculatedColumnFormula>
      <totalsRowFormula>SUM(revenue[Sept.])</totalsRowFormula>
    </tableColumn>
    <tableColumn id="11" xr3:uid="{30300D23-AA49-4400-8470-123645B61F51}" name="Oct." totalsRowFunction="custom" dataDxfId="138" totalsRowDxfId="137">
      <calculatedColumnFormula>SUMIFS(revenuXYZ[montant],revenuXYZ[categorie],$B7,revenuXYZ[mois],10)</calculatedColumnFormula>
      <totalsRowFormula>SUM(revenue[Oct.])</totalsRowFormula>
    </tableColumn>
    <tableColumn id="12" xr3:uid="{AB68509E-B095-4830-B575-5A3549C65E5C}" name="Nov." totalsRowFunction="custom" dataDxfId="136" totalsRowDxfId="135">
      <calculatedColumnFormula>SUMIFS(revenuXYZ[montant],revenuXYZ[categorie],$B7,revenuXYZ[mois],11)</calculatedColumnFormula>
      <totalsRowFormula>SUM(revenue[Nov.])</totalsRowFormula>
    </tableColumn>
    <tableColumn id="13" xr3:uid="{EA5BF470-3B3B-4ECF-95F8-0CACCE09D75F}" name="Dec" totalsRowFunction="custom" dataDxfId="134" totalsRowDxfId="133">
      <calculatedColumnFormula>SUMIFS(revenuXYZ[montant],revenuXYZ[categorie],$B7,revenuXYZ[mois],12)</calculatedColumnFormula>
      <totalsRowFormula>SUM(revenue[Dec])</totalsRowFormula>
    </tableColumn>
    <tableColumn id="14" xr3:uid="{501950A5-B55B-493E-BC67-760BEE544BD0}" name="Year to Date" totalsRowFunction="sum" dataDxfId="132" totalsRowDxfId="131">
      <calculatedColumnFormula>SUM(C7:N7)</calculatedColumnFormula>
    </tableColumn>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E59DF9-E277-45A6-AEA4-21EAD3CC0E79}" name="maison" displayName="maison" ref="B17:O22" headerRowCount="0" totalsRowShown="0" headerRowDxfId="130" dataDxfId="129">
  <tableColumns count="14">
    <tableColumn id="1" xr3:uid="{8BE58122-8800-4D2F-AC58-9BF7C04783D6}" name="Colonne1" headerRowDxfId="128" dataDxfId="127"/>
    <tableColumn id="2" xr3:uid="{28291BF8-1F55-4905-83D6-74538BF448B9}" name="Colonne2" headerRowDxfId="126" dataDxfId="125">
      <calculatedColumnFormula>SUMIFS(depense[montant],depense[Caegorie],$B17,depense[mois],1)</calculatedColumnFormula>
    </tableColumn>
    <tableColumn id="3" xr3:uid="{629AD474-FD60-4E0E-8358-D3B26AF5FC1A}" name="Colonne3" headerRowDxfId="124" dataDxfId="123">
      <calculatedColumnFormula>SUMIFS(depense[montant],depense[Caegorie],$B17,depense[mois],2)</calculatedColumnFormula>
    </tableColumn>
    <tableColumn id="4" xr3:uid="{C307DC96-280D-4E37-82FE-D8BD4FD5F2EE}" name="Colonne4" headerRowDxfId="122" dataDxfId="121">
      <calculatedColumnFormula>SUMIFS(depense[montant],depense[Caegorie],$B17,depense[mois],3)</calculatedColumnFormula>
    </tableColumn>
    <tableColumn id="5" xr3:uid="{B10BBE5E-0FB3-43D2-BC65-5F871D57FE08}" name="Colonne5" headerRowDxfId="120" dataDxfId="119">
      <calculatedColumnFormula>SUMIFS(depense[montant],depense[Caegorie],$B17,depense[mois],4)</calculatedColumnFormula>
    </tableColumn>
    <tableColumn id="6" xr3:uid="{3813A701-B9D8-4291-876D-D6B18A343D03}" name="Colonne6" headerRowDxfId="118" dataDxfId="117">
      <calculatedColumnFormula>SUMIFS(depense[montant],depense[Caegorie],$B17,depense[mois],5)</calculatedColumnFormula>
    </tableColumn>
    <tableColumn id="7" xr3:uid="{7AC0E68E-39F4-470E-B6DA-19BE5C6E6C57}" name="Colonne7" headerRowDxfId="116" dataDxfId="115">
      <calculatedColumnFormula>SUMIFS(depense[montant],depense[Caegorie],$B17,depense[mois],6)</calculatedColumnFormula>
    </tableColumn>
    <tableColumn id="8" xr3:uid="{F5FF49E2-E3A5-4539-9EF0-AB1B2555F843}" name="Colonne8" headerRowDxfId="114" dataDxfId="113">
      <calculatedColumnFormula>SUMIFS(depense[montant],depense[Caegorie],$B17,depense[mois],7)</calculatedColumnFormula>
    </tableColumn>
    <tableColumn id="9" xr3:uid="{92762387-0230-483D-B593-A366B3191320}" name="Colonne9" headerRowDxfId="112" dataDxfId="111">
      <calculatedColumnFormula>SUMIFS(depense[montant],depense[Caegorie],$B17,depense[mois],8)</calculatedColumnFormula>
    </tableColumn>
    <tableColumn id="10" xr3:uid="{D8CC024E-F51E-4134-AF0A-117D743F8FD2}" name="Colonne10" headerRowDxfId="110" dataDxfId="109">
      <calculatedColumnFormula>SUMIFS(depense[montant],depense[Caegorie],$B17,depense[mois],9)</calculatedColumnFormula>
    </tableColumn>
    <tableColumn id="11" xr3:uid="{9C37B421-D52B-490B-8B62-C7DE78D450C7}" name="Colonne11" headerRowDxfId="108" dataDxfId="107">
      <calculatedColumnFormula>SUMIFS(depense[montant],depense[Caegorie],$B17,depense[mois],10)</calculatedColumnFormula>
    </tableColumn>
    <tableColumn id="12" xr3:uid="{DBA9F0AB-968A-4EF0-A00D-77F87125E72D}" name="Colonne12" headerRowDxfId="106" dataDxfId="105">
      <calculatedColumnFormula>SUMIFS(depense[montant],depense[Caegorie],$B17,depense[mois],11)</calculatedColumnFormula>
    </tableColumn>
    <tableColumn id="13" xr3:uid="{1B01253A-FED9-47E2-AD36-4617A0961D99}" name="Colonne13" headerRowDxfId="104" dataDxfId="103">
      <calculatedColumnFormula>SUMIFS(depense[montant],depense[Caegorie],$B17,depense[mois],12)</calculatedColumnFormula>
    </tableColumn>
    <tableColumn id="14" xr3:uid="{5D61E5E9-6F2E-49B1-989B-0ABC00E9372B}" name="Colonne14" headerRowDxfId="102" dataDxfId="101">
      <calculatedColumnFormula>SUM(maison[[#This Row],[Colonne2]:[Colonne13]])</calculatedColumnFormula>
    </tableColumn>
  </tableColumns>
  <tableStyleInfo name="TableStyleLight9"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22A257-3649-4954-B7FE-41D87E31DB0D}" name="nourriture" displayName="nourriture" ref="B24:O25" headerRowCount="0" totalsRowShown="0" headerRowDxfId="100" dataDxfId="99">
  <tableColumns count="14">
    <tableColumn id="1" xr3:uid="{31A8E595-95CC-497A-9885-6F06AA9E40BA}" name="Colonne1" headerRowDxfId="98" dataDxfId="97"/>
    <tableColumn id="2" xr3:uid="{072B7161-51BB-4CCE-824D-BB29CE5241DF}" name="Colonne2" headerRowDxfId="96" dataDxfId="95">
      <calculatedColumnFormula>SUMIFS(depense[montant],depense[Caegorie],$B24,depense[mois],1)</calculatedColumnFormula>
    </tableColumn>
    <tableColumn id="3" xr3:uid="{53AB42BF-2B55-459E-9DE8-DF52B04F62F1}" name="Colonne3" headerRowDxfId="94" dataDxfId="93">
      <calculatedColumnFormula>SUMIFS(depense[montant],depense[Caegorie],$B24,depense[mois],2)</calculatedColumnFormula>
    </tableColumn>
    <tableColumn id="4" xr3:uid="{8A272B56-5BB3-428B-BF0C-D0FBA3EFB29F}" name="Colonne4" headerRowDxfId="92" dataDxfId="91">
      <calculatedColumnFormula>SUMIFS(depense[montant],depense[Caegorie],$B24,depense[mois],3)</calculatedColumnFormula>
    </tableColumn>
    <tableColumn id="5" xr3:uid="{E86C3A30-AFB6-49C5-8D2F-F83D0A6F8954}" name="Colonne5" headerRowDxfId="90" dataDxfId="89">
      <calculatedColumnFormula>SUMIFS(depense[montant],depense[Caegorie],$B24,depense[mois],4)</calculatedColumnFormula>
    </tableColumn>
    <tableColumn id="6" xr3:uid="{4E47B9CC-7F59-4B1B-91B1-AD49AD9A70D6}" name="Colonne6" headerRowDxfId="88" dataDxfId="87">
      <calculatedColumnFormula>SUMIFS(depense[montant],depense[Caegorie],$B24,depense[mois],5)</calculatedColumnFormula>
    </tableColumn>
    <tableColumn id="7" xr3:uid="{3097B62F-26E3-4C00-B7BC-1B9D545F4B0A}" name="Colonne7" headerRowDxfId="86" dataDxfId="85">
      <calculatedColumnFormula>SUMIFS(depense[montant],depense[Caegorie],$B24,depense[mois],6)</calculatedColumnFormula>
    </tableColumn>
    <tableColumn id="8" xr3:uid="{5D1485E0-B9E4-4A60-BE88-5133E63256B4}" name="Colonne8" headerRowDxfId="84" dataDxfId="83">
      <calculatedColumnFormula>SUMIFS(depense[montant],depense[Caegorie],$B24,depense[mois],7)</calculatedColumnFormula>
    </tableColumn>
    <tableColumn id="9" xr3:uid="{B39B3641-2453-4211-846A-C4A4D0CABA45}" name="Colonne9" headerRowDxfId="82" dataDxfId="81">
      <calculatedColumnFormula>SUMIFS(depense[montant],depense[Caegorie],$B24,depense[mois],8)</calculatedColumnFormula>
    </tableColumn>
    <tableColumn id="10" xr3:uid="{290C5822-BB6C-4738-A8CA-EF44CF666183}" name="Colonne10" headerRowDxfId="80" dataDxfId="79">
      <calculatedColumnFormula>SUMIFS(depense[montant],depense[Caegorie],$B24,depense[mois],9)</calculatedColumnFormula>
    </tableColumn>
    <tableColumn id="11" xr3:uid="{4DD7A7DE-4013-4E5D-B9B6-D0E6B306CC64}" name="Colonne11" headerRowDxfId="78" dataDxfId="77">
      <calculatedColumnFormula>SUMIFS(depense[montant],depense[Caegorie],$B24,depense[mois],10)</calculatedColumnFormula>
    </tableColumn>
    <tableColumn id="12" xr3:uid="{A571930E-83B7-472C-A480-C32C8492BDF2}" name="Colonne12" headerRowDxfId="76" dataDxfId="75">
      <calculatedColumnFormula>SUMIFS(depense[montant],depense[Caegorie],$B24,depense[mois],11)</calculatedColumnFormula>
    </tableColumn>
    <tableColumn id="13" xr3:uid="{1CCF16BA-04AD-4EF2-912F-42F7F2D2AFBE}" name="Colonne13" headerRowDxfId="74" dataDxfId="73">
      <calculatedColumnFormula>SUMIFS(depense[montant],depense[Caegorie],$B24,depense[mois],12)</calculatedColumnFormula>
    </tableColumn>
    <tableColumn id="14" xr3:uid="{C4513505-227B-4542-B02D-9A366CF7F9AF}" name="Colonne14" headerRowDxfId="72" dataDxfId="71">
      <calculatedColumnFormula>SUM(nourriture[[#This Row],[Colonne2]:[Colonne13]])</calculatedColumnFormula>
    </tableColumn>
  </tableColumns>
  <tableStyleInfo name="TableStyleLight8"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0F44CE-8A69-42CE-B565-2A6CBF405087}" name="transport" displayName="transport" ref="B27:O30" headerRowCount="0" totalsRowShown="0" headerRowDxfId="70" dataDxfId="69">
  <tableColumns count="14">
    <tableColumn id="1" xr3:uid="{459E49D2-956B-4F22-9664-A87B5FE96A10}" name="Colonne1" headerRowDxfId="68" dataDxfId="67"/>
    <tableColumn id="2" xr3:uid="{B4CE6BD7-5E01-4FAC-81D5-16CBD0112EA5}" name="Colonne2" headerRowDxfId="66" dataDxfId="65">
      <calculatedColumnFormula>SUMIFS(depense[montant],depense[Caegorie],$B27,depense[mois],1)</calculatedColumnFormula>
    </tableColumn>
    <tableColumn id="3" xr3:uid="{2FCE54BD-6503-492A-95EE-37716315B5B7}" name="Colonne3" headerRowDxfId="64" dataDxfId="63">
      <calculatedColumnFormula>SUMIFS(depense[montant],depense[Caegorie],$B27,depense[mois],2)</calculatedColumnFormula>
    </tableColumn>
    <tableColumn id="4" xr3:uid="{B2BB943C-2153-4043-81CA-340147790280}" name="Colonne4" headerRowDxfId="62" dataDxfId="61">
      <calculatedColumnFormula>SUMIFS(depense[montant],depense[Caegorie],$B27,depense[mois],3)</calculatedColumnFormula>
    </tableColumn>
    <tableColumn id="5" xr3:uid="{56E0B7FF-DD2D-4C3C-AE8A-7E90B848BC68}" name="Colonne5" headerRowDxfId="60" dataDxfId="59">
      <calculatedColumnFormula>SUMIFS(depense[montant],depense[Caegorie],$B27,depense[mois],4)</calculatedColumnFormula>
    </tableColumn>
    <tableColumn id="6" xr3:uid="{08631D2E-F428-4CE4-9C2D-396B1BD4F8A4}" name="Colonne6" headerRowDxfId="58" dataDxfId="57">
      <calculatedColumnFormula>SUMIFS(depense[montant],depense[Caegorie],$B27,depense[mois],5)</calculatedColumnFormula>
    </tableColumn>
    <tableColumn id="7" xr3:uid="{EFF44476-181E-44D0-ACAF-990C61853E6C}" name="Colonne7" headerRowDxfId="56" dataDxfId="55">
      <calculatedColumnFormula>SUMIFS(depense[montant],depense[Caegorie],$B27,depense[mois],6)</calculatedColumnFormula>
    </tableColumn>
    <tableColumn id="8" xr3:uid="{DC535CF6-995F-4E63-B6CF-03A16C47CD64}" name="Colonne8" headerRowDxfId="54" dataDxfId="53">
      <calculatedColumnFormula>SUMIFS(depense[montant],depense[Caegorie],$B27,depense[mois],7)</calculatedColumnFormula>
    </tableColumn>
    <tableColumn id="9" xr3:uid="{9D9EFED3-7BE4-46CC-B501-5B6EAFBF2653}" name="Colonne9" headerRowDxfId="52" dataDxfId="51">
      <calculatedColumnFormula>SUMIFS(depense[montant],depense[Caegorie],$B27,depense[mois],8)</calculatedColumnFormula>
    </tableColumn>
    <tableColumn id="10" xr3:uid="{B04B7978-9E19-40D0-99CB-C7CE169435C8}" name="Colonne10" headerRowDxfId="50" dataDxfId="49">
      <calculatedColumnFormula>SUMIFS(depense[montant],depense[Caegorie],$B27,depense[mois],9)</calculatedColumnFormula>
    </tableColumn>
    <tableColumn id="11" xr3:uid="{250D0170-A681-4141-8B0B-26DEF659F313}" name="Colonne11" headerRowDxfId="48" dataDxfId="47">
      <calculatedColumnFormula>SUMIFS(depense[montant],depense[Caegorie],$B27,depense[mois],10)</calculatedColumnFormula>
    </tableColumn>
    <tableColumn id="12" xr3:uid="{BFFE83A4-CE8E-4A95-97BF-17D1B8270827}" name="Colonne12" headerRowDxfId="46" dataDxfId="45">
      <calculatedColumnFormula>SUMIFS(depense[montant],depense[Caegorie],$B27,depense[mois],11)</calculatedColumnFormula>
    </tableColumn>
    <tableColumn id="13" xr3:uid="{74F3D2C0-7297-44FB-8F64-6E1D8F7D0EF6}" name="Colonne13" headerRowDxfId="44" dataDxfId="43">
      <calculatedColumnFormula>SUMIFS(depense[montant],depense[Caegorie],$B27,depense[mois],12)</calculatedColumnFormula>
    </tableColumn>
    <tableColumn id="14" xr3:uid="{20A5147A-C41C-4292-A5C6-F021F360C1E4}" name="Colonne14" headerRowDxfId="42" dataDxfId="41">
      <calculatedColumnFormula>SUM(transport[[#This Row],[Colonne2]:[Colonne13]])</calculatedColumnFormula>
    </tableColumn>
  </tableColumns>
  <tableStyleInfo name="TableStyleLight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5D44905-AE40-422D-A628-9EAB554E05D2}" name="Table14" displayName="Table14" ref="BD6:BD1102" totalsRowShown="0" headerRowDxfId="40">
  <autoFilter ref="BD6:BD1102" xr:uid="{D5D44905-AE40-422D-A628-9EAB554E05D2}"/>
  <tableColumns count="1">
    <tableColumn id="1" xr3:uid="{E591DEE5-8202-458C-B7CB-6D31005EEBDD}" name="Date" dataDxfId="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F9FEE09-B32E-4030-8F0B-997B35B370EA}" name="revenuXYZ" displayName="revenuXYZ" ref="A4:H59" totalsRowCount="1" headerRowDxfId="37" dataDxfId="36" totalsRowDxfId="35">
  <autoFilter ref="A4:H58" xr:uid="{CF9FEE09-B32E-4030-8F0B-997B35B370EA}"/>
  <tableColumns count="8">
    <tableColumn id="1" xr3:uid="{B6949565-AC77-4CEA-BF40-3728ADB2A723}" name="Date" totalsRowLabel="Total" dataDxfId="34" totalsRowDxfId="33"/>
    <tableColumn id="6" xr3:uid="{7CCF4345-01A6-459A-A8AA-6AD4174FA5B3}" name="mois" dataDxfId="32" totalsRowDxfId="31">
      <calculatedColumnFormula>MONTH(revenuXYZ[[#This Row],[Date]])</calculatedColumnFormula>
    </tableColumn>
    <tableColumn id="2" xr3:uid="{26AFC3E0-AF9B-4AF5-82D8-257BF436B9F0}" name="categorie" dataDxfId="30" totalsRowDxfId="29"/>
    <tableColumn id="3" xr3:uid="{ED12E44C-59A7-43BE-AC35-D9736039D54A}" name="Description" dataDxfId="28" totalsRowDxfId="27"/>
    <tableColumn id="4" xr3:uid="{400BDC66-C5BA-4BAF-8AC7-D9836D6F4C91}" name="montant" totalsRowFunction="sum" dataDxfId="26" totalsRowDxfId="25"/>
    <tableColumn id="5" xr3:uid="{37A8A774-44A8-4E0B-A3F4-6F3D4608CA6A}" name="montant_CFA" totalsRowFunction="custom" dataDxfId="24" totalsRowDxfId="23">
      <calculatedColumnFormula>revenuXYZ[[#This Row],[montant]]*60</calculatedColumnFormula>
      <totalsRowFormula>SUM(revenuXYZ[montant_CFA])</totalsRowFormula>
    </tableColumn>
    <tableColumn id="7" xr3:uid="{DF89F1E2-4BCE-4318-B262-5495EB77D769}" name="source" dataDxfId="22" totalsRowDxfId="21">
      <calculatedColumnFormula array="1">_xlfn.IFS(revenuXYZ[[#This Row],[categorie]]="Salaire","Banque",revenuXYZ[[#This Row],[categorie]]="Don","Portefeuille",revenuXYZ[[#This Row],[categorie]]="Freelancing","Banque",revenuXYZ[[#This Row],[categorie]]="Autres","Portefeuille")</calculatedColumnFormula>
    </tableColumn>
    <tableColumn id="8" xr3:uid="{BD8C64EF-49ED-4925-A103-4B42AA89BD59}" name="ID" dataDxfId="20" totalsRowDxfId="19"/>
  </tableColumns>
  <tableStyleInfo name="TableStyleLight8" showFirstColumn="0" showLastColumn="0" showRowStripes="0"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05FE4-61EF-47F4-ACF5-16B19E6EC894}" name="depense" displayName="depense" ref="A4:H51" totalsRowCount="1" headerRowDxfId="18" dataDxfId="17" totalsRowDxfId="16">
  <autoFilter ref="A4:H50" xr:uid="{54105FE4-61EF-47F4-ACF5-16B19E6EC894}"/>
  <tableColumns count="8">
    <tableColumn id="1" xr3:uid="{6723296A-0FAE-4812-A1C8-5E65B28CF31A}" name="Date" totalsRowLabel="Total" dataDxfId="15" totalsRowDxfId="14"/>
    <tableColumn id="6" xr3:uid="{A8528446-C566-4FF9-9ACA-9B1F224D5B09}" name="mois" dataDxfId="13" totalsRowDxfId="12"/>
    <tableColumn id="11" xr3:uid="{2623274E-F8A0-4374-96B7-526D520BEE20}" name="source" dataDxfId="11" totalsRowDxfId="10"/>
    <tableColumn id="2" xr3:uid="{FCC1C458-4E20-45BF-AD05-3CF6D2A91440}" name="Caegorie" dataDxfId="9" totalsRowDxfId="8"/>
    <tableColumn id="3" xr3:uid="{6030862D-35FE-49C0-ACD6-B2E80B663175}" name="Description" dataDxfId="7" totalsRowDxfId="6"/>
    <tableColumn id="4" xr3:uid="{4567CA9E-554B-4767-BC37-CBECAA3DEC02}" name="montant" totalsRowFunction="custom" dataDxfId="5" totalsRowDxfId="4">
      <totalsRowFormula>SUBTOTAL(109,depense[montant]) + [1]!depensesJuillet24[[#Totals],[montant]]</totalsRowFormula>
    </tableColumn>
    <tableColumn id="5" xr3:uid="{38A114A9-2D9B-4359-AA13-5E7C8F63E32B}" name="montant_CFA" totalsRowFunction="custom" dataDxfId="3" totalsRowDxfId="2">
      <calculatedColumnFormula>depense[[#This Row],[montant]]*60</calculatedColumnFormula>
      <totalsRowFormula>SUM(depense[montant_CFA])</totalsRowFormula>
    </tableColumn>
    <tableColumn id="7" xr3:uid="{A466DF92-CE35-4DCD-9153-09EB6565831F}" name="ID" dataDxfId="1" totalsRowDxfId="0"/>
  </tableColumns>
  <tableStyleInfo name="TableStyleLight8" showFirstColumn="0" showLastColumn="0" showRowStripes="0"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table" Target="../tables/table5.xml"/><Relationship Id="rId5" Type="http://schemas.openxmlformats.org/officeDocument/2006/relationships/ctrlProp" Target="../ctrlProps/ctrlProp1.xml"/><Relationship Id="rId10" Type="http://schemas.openxmlformats.org/officeDocument/2006/relationships/table" Target="../tables/table4.xml"/><Relationship Id="rId4" Type="http://schemas.openxmlformats.org/officeDocument/2006/relationships/vmlDrawing" Target="../drawings/vmlDrawing2.v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6.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4.bin"/><Relationship Id="rId7" Type="http://schemas.openxmlformats.org/officeDocument/2006/relationships/ctrlProp" Target="../ctrlProps/ctrlProp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5.xml"/><Relationship Id="rId5" Type="http://schemas.openxmlformats.org/officeDocument/2006/relationships/vmlDrawing" Target="../drawings/vmlDrawing5.vml"/><Relationship Id="rId4" Type="http://schemas.openxmlformats.org/officeDocument/2006/relationships/drawing" Target="../drawings/drawing4.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ivotTable" Target="../pivotTables/pivotTable1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8AD56-8E34-4544-8162-0406A0A9AB72}">
  <sheetPr codeName="Feuil1"/>
  <dimension ref="B1:BD1102"/>
  <sheetViews>
    <sheetView showGridLines="0" view="pageLayout" zoomScale="56" zoomScaleNormal="70" zoomScalePageLayoutView="56" workbookViewId="0">
      <selection activeCell="L3" sqref="L3"/>
    </sheetView>
  </sheetViews>
  <sheetFormatPr defaultColWidth="10.90625" defaultRowHeight="14.5" x14ac:dyDescent="0.35"/>
  <cols>
    <col min="1" max="1" width="5.453125" customWidth="1"/>
    <col min="2" max="2" width="19.08984375" bestFit="1" customWidth="1"/>
    <col min="3" max="10" width="13" customWidth="1"/>
    <col min="11" max="14" width="14.26953125" customWidth="1"/>
    <col min="15" max="15" width="15.26953125" customWidth="1"/>
    <col min="18" max="18" width="0.1796875" customWidth="1"/>
    <col min="19" max="19" width="2" customWidth="1"/>
    <col min="20" max="20" width="16.54296875" customWidth="1"/>
    <col min="21" max="21" width="15.08984375" customWidth="1"/>
    <col min="22" max="22" width="19.81640625" customWidth="1"/>
    <col min="23" max="23" width="69.7265625" customWidth="1"/>
    <col min="24" max="24" width="20.6328125" customWidth="1"/>
    <col min="25" max="25" width="23.08984375" customWidth="1"/>
    <col min="29" max="29" width="16.36328125" customWidth="1"/>
    <col min="30" max="30" width="7.1796875" customWidth="1"/>
    <col min="31" max="31" width="15.08984375" customWidth="1"/>
    <col min="32" max="32" width="23.90625" customWidth="1"/>
    <col min="33" max="33" width="61.6328125" customWidth="1"/>
    <col min="34" max="34" width="20.54296875" customWidth="1"/>
    <col min="35" max="35" width="23.54296875" customWidth="1"/>
  </cols>
  <sheetData>
    <row r="1" spans="2:56" ht="30" customHeight="1" x14ac:dyDescent="0.35">
      <c r="B1" s="46" t="s">
        <v>0</v>
      </c>
      <c r="C1" s="46"/>
      <c r="D1" s="46"/>
      <c r="E1" s="46"/>
      <c r="F1" s="46"/>
      <c r="G1" s="46"/>
      <c r="H1" s="46"/>
      <c r="I1" s="46"/>
      <c r="J1" s="46"/>
      <c r="K1" s="46"/>
      <c r="L1" s="46"/>
      <c r="M1" s="46"/>
      <c r="N1" s="46"/>
      <c r="O1" s="46"/>
    </row>
    <row r="2" spans="2:56" ht="12" customHeight="1" x14ac:dyDescent="0.45">
      <c r="B2" s="1"/>
      <c r="C2" s="1"/>
      <c r="D2" s="1"/>
      <c r="E2" s="1"/>
      <c r="F2" s="1"/>
      <c r="G2" s="1"/>
      <c r="H2" s="1"/>
      <c r="I2" s="1"/>
      <c r="J2" s="1"/>
      <c r="K2" s="1"/>
      <c r="L2" s="1"/>
      <c r="M2" s="1"/>
      <c r="N2" s="1"/>
      <c r="O2" s="1"/>
    </row>
    <row r="3" spans="2:56" ht="24" customHeight="1" x14ac:dyDescent="0.45">
      <c r="B3" s="47" t="s">
        <v>1</v>
      </c>
      <c r="C3" s="47"/>
      <c r="D3" s="47"/>
      <c r="E3" s="11">
        <v>5000</v>
      </c>
      <c r="F3" s="1"/>
      <c r="G3" s="1"/>
      <c r="H3" s="1"/>
      <c r="I3" s="1"/>
      <c r="J3" s="1"/>
      <c r="N3" s="1"/>
      <c r="O3" s="1"/>
    </row>
    <row r="4" spans="2:56" ht="16" customHeight="1" thickBot="1" x14ac:dyDescent="0.5">
      <c r="B4" s="1"/>
      <c r="C4" s="1"/>
      <c r="D4" s="1"/>
      <c r="E4" s="1"/>
      <c r="F4" s="1"/>
      <c r="G4" s="1"/>
      <c r="H4" s="1"/>
      <c r="I4" s="1"/>
      <c r="J4" s="1"/>
      <c r="K4" s="1"/>
      <c r="L4" s="1"/>
      <c r="M4" s="1"/>
      <c r="N4" s="1"/>
      <c r="O4" s="1"/>
    </row>
    <row r="5" spans="2:56" ht="21.5" thickTop="1" x14ac:dyDescent="0.5">
      <c r="B5" s="48" t="s">
        <v>2</v>
      </c>
      <c r="C5" s="49"/>
      <c r="D5" s="49"/>
      <c r="E5" s="49"/>
      <c r="F5" s="49"/>
      <c r="G5" s="49"/>
      <c r="H5" s="49"/>
      <c r="I5" s="49"/>
      <c r="J5" s="49"/>
      <c r="K5" s="49"/>
      <c r="L5" s="49"/>
      <c r="M5" s="49"/>
      <c r="N5" s="49"/>
      <c r="O5" s="50"/>
      <c r="P5" s="6"/>
    </row>
    <row r="6" spans="2:56" ht="18.5" x14ac:dyDescent="0.45">
      <c r="B6" s="3" t="s">
        <v>3</v>
      </c>
      <c r="C6" s="4" t="s">
        <v>4</v>
      </c>
      <c r="D6" s="4" t="s">
        <v>5</v>
      </c>
      <c r="E6" s="4" t="s">
        <v>6</v>
      </c>
      <c r="F6" s="4" t="s">
        <v>14</v>
      </c>
      <c r="G6" s="4" t="s">
        <v>7</v>
      </c>
      <c r="H6" s="4" t="s">
        <v>8</v>
      </c>
      <c r="I6" s="4" t="s">
        <v>9</v>
      </c>
      <c r="J6" s="4" t="s">
        <v>10</v>
      </c>
      <c r="K6" s="5" t="s">
        <v>11</v>
      </c>
      <c r="L6" s="3" t="s">
        <v>12</v>
      </c>
      <c r="M6" s="4" t="s">
        <v>13</v>
      </c>
      <c r="N6" s="4" t="s">
        <v>15</v>
      </c>
      <c r="O6" s="4" t="s">
        <v>16</v>
      </c>
      <c r="P6" s="2"/>
      <c r="BD6" s="15" t="s">
        <v>32</v>
      </c>
    </row>
    <row r="7" spans="2:56" ht="18.5" x14ac:dyDescent="0.45">
      <c r="B7" s="1" t="s">
        <v>17</v>
      </c>
      <c r="C7" s="1">
        <f>SUMIFS(revenuXYZ[montant],revenuXYZ[categorie],$B7,revenuXYZ[mois],1)</f>
        <v>10000</v>
      </c>
      <c r="D7" s="1">
        <f>SUMIFS(revenuXYZ[montant],revenuXYZ[categorie],$B7,revenuXYZ[mois],2)</f>
        <v>20000</v>
      </c>
      <c r="E7" s="1">
        <f>SUMIFS(revenuXYZ[montant],revenuXYZ[categorie],$B7,revenuXYZ[mois],3)</f>
        <v>10200</v>
      </c>
      <c r="F7" s="1">
        <f>SUMIFS(revenuXYZ[montant],revenuXYZ[categorie],$B7,revenuXYZ[mois],4)</f>
        <v>10100</v>
      </c>
      <c r="G7" s="1">
        <f>SUMIFS(revenuXYZ[montant],revenuXYZ[categorie],$B7,revenuXYZ[mois],5)</f>
        <v>0</v>
      </c>
      <c r="H7" s="1">
        <f>SUMIFS(revenuXYZ[montant],revenuXYZ[categorie],$B7,revenuXYZ[mois],6)</f>
        <v>0</v>
      </c>
      <c r="I7" s="1">
        <f>SUMIFS(revenuXYZ[montant],revenuXYZ[categorie],$B7,revenuXYZ[mois],7)</f>
        <v>25621</v>
      </c>
      <c r="J7" s="1">
        <f>SUMIFS(revenuXYZ[montant],revenuXYZ[categorie],$B7,revenuXYZ[mois],8)</f>
        <v>0</v>
      </c>
      <c r="K7" s="1">
        <f>SUMIFS(revenuXYZ[montant],revenuXYZ[categorie],$B7,revenuXYZ[mois],9)</f>
        <v>13000</v>
      </c>
      <c r="L7" s="1">
        <f>SUMIFS(revenuXYZ[montant],revenuXYZ[categorie],$B7,revenuXYZ[mois],10)</f>
        <v>0</v>
      </c>
      <c r="M7" s="1">
        <f>SUMIFS(revenuXYZ[montant],revenuXYZ[categorie],$B7,revenuXYZ[mois],11)</f>
        <v>23000</v>
      </c>
      <c r="N7" s="1">
        <f>SUMIFS(revenuXYZ[montant],revenuXYZ[categorie],$B7,revenuXYZ[mois],12)</f>
        <v>14000</v>
      </c>
      <c r="O7" s="1">
        <f>SUM(C7:N7)</f>
        <v>125921</v>
      </c>
      <c r="BD7" s="15">
        <v>45292</v>
      </c>
    </row>
    <row r="8" spans="2:56" ht="18.5" x14ac:dyDescent="0.45">
      <c r="B8" s="1" t="s">
        <v>18</v>
      </c>
      <c r="C8" s="1">
        <f>SUMIFS(revenuXYZ[montant],revenuXYZ[categorie],$B8,revenuXYZ[mois],1)</f>
        <v>2700</v>
      </c>
      <c r="D8" s="1">
        <f>SUMIFS(revenuXYZ[montant],revenuXYZ[categorie],$B8,revenuXYZ[mois],2)</f>
        <v>1850</v>
      </c>
      <c r="E8" s="1">
        <f>SUMIFS(revenuXYZ[montant],revenuXYZ[categorie],$B8,revenuXYZ[mois],3)</f>
        <v>2300</v>
      </c>
      <c r="F8" s="1">
        <f>SUMIFS(revenuXYZ[montant],revenuXYZ[categorie],$B8,revenuXYZ[mois],4)</f>
        <v>0</v>
      </c>
      <c r="G8" s="1">
        <f>SUMIFS(revenuXYZ[montant],revenuXYZ[categorie],$B8,revenuXYZ[mois],5)</f>
        <v>100</v>
      </c>
      <c r="H8" s="1">
        <f>SUMIFS(revenuXYZ[montant],revenuXYZ[categorie],$B8,revenuXYZ[mois],6)</f>
        <v>1000</v>
      </c>
      <c r="I8" s="1">
        <f>SUMIFS(revenuXYZ[montant],revenuXYZ[categorie],$B8,revenuXYZ[mois],7)</f>
        <v>10961</v>
      </c>
      <c r="J8" s="1">
        <f>SUMIFS(revenuXYZ[montant],revenuXYZ[categorie],$B8,revenuXYZ[mois],8)</f>
        <v>0</v>
      </c>
      <c r="K8" s="1">
        <f>SUMIFS(revenuXYZ[montant],revenuXYZ[categorie],$B8,revenuXYZ[mois],9)</f>
        <v>0</v>
      </c>
      <c r="L8" s="1">
        <f>SUMIFS(revenuXYZ[montant],revenuXYZ[categorie],$B8,revenuXYZ[mois],10)</f>
        <v>0</v>
      </c>
      <c r="M8" s="1">
        <f>SUMIFS(revenuXYZ[montant],revenuXYZ[categorie],$B8,revenuXYZ[mois],11)</f>
        <v>0</v>
      </c>
      <c r="N8" s="1">
        <f>SUMIFS(revenuXYZ[montant],revenuXYZ[categorie],$B8,revenuXYZ[mois],12)</f>
        <v>0</v>
      </c>
      <c r="O8" s="1">
        <f>SUM(C8:N8)</f>
        <v>18911</v>
      </c>
      <c r="BD8" s="15">
        <v>45293</v>
      </c>
    </row>
    <row r="9" spans="2:56" ht="18.5" x14ac:dyDescent="0.45">
      <c r="B9" s="1" t="s">
        <v>36</v>
      </c>
      <c r="C9" s="1">
        <f>SUMIFS(revenuXYZ[montant],revenuXYZ[categorie],$B9,revenuXYZ[mois],1)</f>
        <v>900</v>
      </c>
      <c r="D9" s="1">
        <f>SUMIFS(revenuXYZ[montant],revenuXYZ[categorie],$B9,revenuXYZ[mois],2)</f>
        <v>644</v>
      </c>
      <c r="E9" s="1">
        <f>SUMIFS(revenuXYZ[montant],revenuXYZ[categorie],$B9,revenuXYZ[mois],3)</f>
        <v>200</v>
      </c>
      <c r="F9" s="1">
        <f>SUMIFS(revenuXYZ[montant],revenuXYZ[categorie],$B9,revenuXYZ[mois],4)</f>
        <v>550</v>
      </c>
      <c r="G9" s="1">
        <f>SUMIFS(revenuXYZ[montant],revenuXYZ[categorie],$B9,revenuXYZ[mois],5)</f>
        <v>0</v>
      </c>
      <c r="H9" s="1">
        <f>SUMIFS(revenuXYZ[montant],revenuXYZ[categorie],$B9,revenuXYZ[mois],6)</f>
        <v>240</v>
      </c>
      <c r="I9" s="1">
        <f>SUMIFS(revenuXYZ[montant],revenuXYZ[categorie],$B9,revenuXYZ[mois],7)</f>
        <v>685</v>
      </c>
      <c r="J9" s="1">
        <f>SUMIFS(revenuXYZ[montant],revenuXYZ[categorie],$B9,revenuXYZ[mois],8)</f>
        <v>1000</v>
      </c>
      <c r="K9" s="1">
        <f>SUMIFS(revenuXYZ[montant],revenuXYZ[categorie],$B9,revenuXYZ[mois],9)</f>
        <v>0</v>
      </c>
      <c r="L9" s="1">
        <f>SUMIFS(revenuXYZ[montant],revenuXYZ[categorie],$B9,revenuXYZ[mois],10)</f>
        <v>3640</v>
      </c>
      <c r="M9" s="1">
        <f>SUMIFS(revenuXYZ[montant],revenuXYZ[categorie],$B9,revenuXYZ[mois],11)</f>
        <v>0</v>
      </c>
      <c r="N9" s="1">
        <f>SUMIFS(revenuXYZ[montant],revenuXYZ[categorie],$B9,revenuXYZ[mois],12)</f>
        <v>0</v>
      </c>
      <c r="O9" s="1">
        <f>SUM(C9:N9)</f>
        <v>7859</v>
      </c>
      <c r="BD9" s="15">
        <v>45294</v>
      </c>
    </row>
    <row r="10" spans="2:56" ht="18.5" x14ac:dyDescent="0.45">
      <c r="B10" s="1" t="s">
        <v>19</v>
      </c>
      <c r="C10" s="1">
        <f>SUMIFS(revenuXYZ[montant],revenuXYZ[categorie],$B10,revenuXYZ[mois],1)</f>
        <v>1000</v>
      </c>
      <c r="D10" s="1">
        <f>SUMIFS(revenuXYZ[montant],revenuXYZ[categorie],$B10,revenuXYZ[mois],2)</f>
        <v>0</v>
      </c>
      <c r="E10" s="1">
        <f>SUMIFS(revenuXYZ[montant],revenuXYZ[categorie],$B10,revenuXYZ[mois],3)</f>
        <v>0</v>
      </c>
      <c r="F10" s="1">
        <f>SUMIFS(revenuXYZ[montant],revenuXYZ[categorie],$B10,revenuXYZ[mois],4)</f>
        <v>0</v>
      </c>
      <c r="G10" s="1">
        <f>SUMIFS(revenuXYZ[montant],revenuXYZ[categorie],$B10,revenuXYZ[mois],5)</f>
        <v>0</v>
      </c>
      <c r="H10" s="1">
        <f>SUMIFS(revenuXYZ[montant],revenuXYZ[categorie],$B10,revenuXYZ[mois],6)</f>
        <v>0</v>
      </c>
      <c r="I10" s="1">
        <f>SUMIFS(revenuXYZ[montant],revenuXYZ[categorie],$B10,revenuXYZ[mois],7)</f>
        <v>0</v>
      </c>
      <c r="J10" s="1">
        <f>SUMIFS(revenuXYZ[montant],revenuXYZ[categorie],$B10,revenuXYZ[mois],8)</f>
        <v>0</v>
      </c>
      <c r="K10" s="1">
        <f>SUMIFS(revenuXYZ[montant],revenuXYZ[categorie],$B10,revenuXYZ[mois],9)</f>
        <v>0</v>
      </c>
      <c r="L10" s="1">
        <f>SUMIFS(revenuXYZ[montant],revenuXYZ[categorie],$B10,revenuXYZ[mois],10)</f>
        <v>300</v>
      </c>
      <c r="M10" s="1">
        <f>SUMIFS(revenuXYZ[montant],revenuXYZ[categorie],$B10,revenuXYZ[mois],11)</f>
        <v>0</v>
      </c>
      <c r="N10" s="1">
        <f>SUMIFS(revenuXYZ[montant],revenuXYZ[categorie],$B10,revenuXYZ[mois],12)</f>
        <v>0</v>
      </c>
      <c r="O10" s="1">
        <f>SUM(C10:N10)</f>
        <v>1300</v>
      </c>
      <c r="BD10" s="15">
        <v>45295</v>
      </c>
    </row>
    <row r="11" spans="2:56" ht="21" x14ac:dyDescent="0.5">
      <c r="B11" s="10" t="s">
        <v>25</v>
      </c>
      <c r="C11" s="10">
        <f>SUM(revenue[Janv.])</f>
        <v>14600</v>
      </c>
      <c r="D11" s="10">
        <f>SUM(revenue[Fev.])</f>
        <v>22494</v>
      </c>
      <c r="E11" s="10">
        <f>SUM(revenue[Mars.])</f>
        <v>12700</v>
      </c>
      <c r="F11" s="10">
        <f>SUM(revenue[Avril])</f>
        <v>10650</v>
      </c>
      <c r="G11" s="10">
        <f>SUM(revenue[Mai])</f>
        <v>100</v>
      </c>
      <c r="H11" s="10">
        <f>SUM(revenue[Juin])</f>
        <v>1240</v>
      </c>
      <c r="I11" s="10">
        <f>SUM(revenue[Juillet])</f>
        <v>37267</v>
      </c>
      <c r="J11" s="10">
        <f>SUM(revenue[Aout])</f>
        <v>1000</v>
      </c>
      <c r="K11" s="10">
        <f>SUM(revenue[Sept.])</f>
        <v>13000</v>
      </c>
      <c r="L11" s="10">
        <f>SUM(revenue[Oct.])</f>
        <v>3940</v>
      </c>
      <c r="M11" s="10">
        <f>SUM(revenue[Nov.])</f>
        <v>23000</v>
      </c>
      <c r="N11" s="10">
        <f>SUM(revenue[Dec])</f>
        <v>14000</v>
      </c>
      <c r="O11" s="10">
        <f>SUBTOTAL(109,revenue[Year to Date])</f>
        <v>153991</v>
      </c>
      <c r="BD11" s="15">
        <v>45296</v>
      </c>
    </row>
    <row r="12" spans="2:56" ht="18.5" x14ac:dyDescent="0.45">
      <c r="B12" s="1"/>
      <c r="C12" s="1"/>
      <c r="D12" s="1"/>
      <c r="E12" s="1"/>
      <c r="F12" s="1"/>
      <c r="G12" s="1"/>
      <c r="H12" s="1"/>
      <c r="I12" s="1"/>
      <c r="J12" s="1"/>
      <c r="K12" s="1"/>
      <c r="L12" s="1"/>
      <c r="M12" s="1"/>
      <c r="N12" s="1"/>
      <c r="O12" s="1"/>
      <c r="BD12" s="15">
        <v>45297</v>
      </c>
    </row>
    <row r="13" spans="2:56" ht="17" customHeight="1" thickBot="1" x14ac:dyDescent="0.5">
      <c r="B13" s="1"/>
      <c r="C13" s="1"/>
      <c r="D13" s="1"/>
      <c r="E13" s="1"/>
      <c r="F13" s="1"/>
      <c r="G13" s="1"/>
      <c r="H13" s="1"/>
      <c r="I13" s="1"/>
      <c r="J13" s="1"/>
      <c r="K13" s="1"/>
      <c r="L13" s="1"/>
      <c r="M13" s="1"/>
      <c r="N13" s="1"/>
      <c r="O13" s="1"/>
      <c r="BD13" s="15">
        <v>45298</v>
      </c>
    </row>
    <row r="14" spans="2:56" ht="21.5" thickTop="1" x14ac:dyDescent="0.5">
      <c r="B14" s="48" t="s">
        <v>20</v>
      </c>
      <c r="C14" s="49"/>
      <c r="D14" s="49"/>
      <c r="E14" s="49"/>
      <c r="F14" s="49"/>
      <c r="G14" s="49"/>
      <c r="H14" s="49"/>
      <c r="I14" s="49"/>
      <c r="J14" s="49"/>
      <c r="K14" s="49"/>
      <c r="L14" s="49"/>
      <c r="M14" s="49"/>
      <c r="N14" s="49"/>
      <c r="O14" s="50"/>
      <c r="BD14" s="15">
        <v>45299</v>
      </c>
    </row>
    <row r="15" spans="2:56" ht="18.5" x14ac:dyDescent="0.45">
      <c r="B15" s="3" t="s">
        <v>3</v>
      </c>
      <c r="C15" s="4" t="s">
        <v>4</v>
      </c>
      <c r="D15" s="4" t="s">
        <v>5</v>
      </c>
      <c r="E15" s="4" t="s">
        <v>6</v>
      </c>
      <c r="F15" s="4" t="s">
        <v>14</v>
      </c>
      <c r="G15" s="4" t="s">
        <v>7</v>
      </c>
      <c r="H15" s="4" t="s">
        <v>8</v>
      </c>
      <c r="I15" s="4" t="s">
        <v>9</v>
      </c>
      <c r="J15" s="4" t="s">
        <v>10</v>
      </c>
      <c r="K15" s="5" t="s">
        <v>11</v>
      </c>
      <c r="L15" s="3" t="s">
        <v>12</v>
      </c>
      <c r="M15" s="4" t="s">
        <v>13</v>
      </c>
      <c r="N15" s="4" t="s">
        <v>15</v>
      </c>
      <c r="O15" s="4" t="s">
        <v>16</v>
      </c>
      <c r="BD15" s="15">
        <v>45300</v>
      </c>
    </row>
    <row r="16" spans="2:56" ht="18.5" x14ac:dyDescent="0.45">
      <c r="B16" s="45" t="s">
        <v>24</v>
      </c>
      <c r="C16" s="45"/>
      <c r="D16" s="45"/>
      <c r="E16" s="45"/>
      <c r="F16" s="45"/>
      <c r="G16" s="45"/>
      <c r="H16" s="45"/>
      <c r="I16" s="45"/>
      <c r="J16" s="45"/>
      <c r="K16" s="45"/>
      <c r="L16" s="45"/>
      <c r="M16" s="45"/>
      <c r="N16" s="45"/>
      <c r="O16" s="45"/>
      <c r="BD16" s="15">
        <v>45301</v>
      </c>
    </row>
    <row r="17" spans="2:56" ht="18.5" x14ac:dyDescent="0.45">
      <c r="B17" s="1" t="s">
        <v>21</v>
      </c>
      <c r="C17" s="1">
        <f>SUMIFS(depense[montant],depense[Caegorie],$B17,depense[mois],1)</f>
        <v>3000</v>
      </c>
      <c r="D17" s="1">
        <f>SUMIFS(depense[montant],depense[Caegorie],$B17,depense[mois],2)</f>
        <v>3000</v>
      </c>
      <c r="E17" s="1">
        <f>SUMIFS(depense[montant],depense[Caegorie],$B17,depense[mois],3)</f>
        <v>3000</v>
      </c>
      <c r="F17" s="1">
        <f>SUMIFS(depense[montant],depense[Caegorie],$B17,depense[mois],4)</f>
        <v>3000</v>
      </c>
      <c r="G17" s="1">
        <f>SUMIFS(depense[montant],depense[Caegorie],$B17,depense[mois],5)</f>
        <v>3500</v>
      </c>
      <c r="H17" s="1">
        <f>SUMIFS(depense[montant],depense[Caegorie],$B17,depense[mois],6)</f>
        <v>3500</v>
      </c>
      <c r="I17" s="1">
        <f>SUMIFS(depense[montant],depense[Caegorie],$B17,depense[mois],7)</f>
        <v>1000</v>
      </c>
      <c r="J17" s="1">
        <f>SUMIFS(depense[montant],depense[Caegorie],$B17,depense[mois],8)</f>
        <v>0</v>
      </c>
      <c r="K17" s="1">
        <f>SUMIFS(depense[montant],depense[Caegorie],$B17,depense[mois],9)</f>
        <v>3500</v>
      </c>
      <c r="L17" s="1">
        <f>SUMIFS(depense[montant],depense[Caegorie],$B17,depense[mois],10)</f>
        <v>4000</v>
      </c>
      <c r="M17" s="1">
        <f>SUMIFS(depense[montant],depense[Caegorie],$B17,depense[mois],11)</f>
        <v>4000</v>
      </c>
      <c r="N17" s="1">
        <f>SUMIFS(depense[montant],depense[Caegorie],$B17,depense[mois],12)</f>
        <v>5000</v>
      </c>
      <c r="O17" s="1">
        <f>SUM(maison[[#This Row],[Colonne2]:[Colonne13]])</f>
        <v>36500</v>
      </c>
      <c r="BD17" s="15">
        <v>45302</v>
      </c>
    </row>
    <row r="18" spans="2:56" ht="18.5" x14ac:dyDescent="0.45">
      <c r="B18" s="1" t="s">
        <v>79</v>
      </c>
      <c r="C18" s="1">
        <f>SUMIFS(depense[montant],depense[Caegorie],$B18,depense[mois],1)</f>
        <v>200</v>
      </c>
      <c r="D18" s="1">
        <f>SUMIFS(depense[montant],depense[Caegorie],$B18,depense[mois],2)</f>
        <v>130</v>
      </c>
      <c r="E18" s="1">
        <f>SUMIFS(depense[montant],depense[Caegorie],$B18,depense[mois],3)</f>
        <v>100</v>
      </c>
      <c r="F18" s="1">
        <f>SUMIFS(depense[montant],depense[Caegorie],$B18,depense[mois],4)</f>
        <v>0</v>
      </c>
      <c r="G18" s="1">
        <f>SUMIFS(depense[montant],depense[Caegorie],$B18,depense[mois],5)</f>
        <v>0</v>
      </c>
      <c r="H18" s="1">
        <f>SUMIFS(depense[montant],depense[Caegorie],$B18,depense[mois],6)</f>
        <v>0</v>
      </c>
      <c r="I18" s="1">
        <f>SUMIFS(depense[montant],depense[Caegorie],$B18,depense[mois],7)</f>
        <v>200</v>
      </c>
      <c r="J18" s="1">
        <f>SUMIFS(depense[montant],depense[Caegorie],$B18,depense[mois],8)</f>
        <v>0</v>
      </c>
      <c r="K18" s="1">
        <f>SUMIFS(depense[montant],depense[Caegorie],$B18,depense[mois],9)</f>
        <v>300</v>
      </c>
      <c r="L18" s="1">
        <f>SUMIFS(depense[montant],depense[Caegorie],$B18,depense[mois],10)</f>
        <v>0</v>
      </c>
      <c r="M18" s="1">
        <f>SUMIFS(depense[montant],depense[Caegorie],$B18,depense[mois],11)</f>
        <v>0</v>
      </c>
      <c r="N18" s="1">
        <f>SUMIFS(depense[montant],depense[Caegorie],$B18,depense[mois],12)</f>
        <v>0</v>
      </c>
      <c r="O18" s="1">
        <f>SUM(maison[[#This Row],[Colonne2]:[Colonne13]])</f>
        <v>930</v>
      </c>
      <c r="BD18" s="15">
        <v>45303</v>
      </c>
    </row>
    <row r="19" spans="2:56" ht="18.5" x14ac:dyDescent="0.45">
      <c r="B19" s="1" t="s">
        <v>26</v>
      </c>
      <c r="C19" s="1">
        <f>SUMIFS(depense[montant],depense[Caegorie],$B19,depense[mois],1)</f>
        <v>50</v>
      </c>
      <c r="D19" s="1">
        <f>SUMIFS(depense[montant],depense[Caegorie],$B19,depense[mois],2)</f>
        <v>73</v>
      </c>
      <c r="E19" s="1">
        <f>SUMIFS(depense[montant],depense[Caegorie],$B19,depense[mois],3)</f>
        <v>50</v>
      </c>
      <c r="F19" s="1">
        <f>SUMIFS(depense[montant],depense[Caegorie],$B19,depense[mois],4)</f>
        <v>0</v>
      </c>
      <c r="G19" s="1">
        <f>SUMIFS(depense[montant],depense[Caegorie],$B19,depense[mois],5)</f>
        <v>0</v>
      </c>
      <c r="H19" s="1">
        <f>SUMIFS(depense[montant],depense[Caegorie],$B19,depense[mois],6)</f>
        <v>0</v>
      </c>
      <c r="I19" s="1">
        <f>SUMIFS(depense[montant],depense[Caegorie],$B19,depense[mois],7)</f>
        <v>0</v>
      </c>
      <c r="J19" s="1">
        <f>SUMIFS(depense[montant],depense[Caegorie],$B19,depense[mois],8)</f>
        <v>0</v>
      </c>
      <c r="K19" s="1">
        <f>SUMIFS(depense[montant],depense[Caegorie],$B19,depense[mois],9)</f>
        <v>0</v>
      </c>
      <c r="L19" s="1">
        <f>SUMIFS(depense[montant],depense[Caegorie],$B19,depense[mois],10)</f>
        <v>0</v>
      </c>
      <c r="M19" s="1">
        <f>SUMIFS(depense[montant],depense[Caegorie],$B19,depense[mois],11)</f>
        <v>0</v>
      </c>
      <c r="N19" s="1">
        <f>SUMIFS(depense[montant],depense[Caegorie],$B19,depense[mois],12)</f>
        <v>0</v>
      </c>
      <c r="O19" s="1">
        <f>SUM(maison[[#This Row],[Colonne2]:[Colonne13]])</f>
        <v>173</v>
      </c>
      <c r="BD19" s="15">
        <v>45304</v>
      </c>
    </row>
    <row r="20" spans="2:56" ht="18.5" x14ac:dyDescent="0.45">
      <c r="B20" s="1" t="s">
        <v>118</v>
      </c>
      <c r="C20" s="1">
        <f>SUMIFS(depense[montant],depense[Caegorie],$B20,depense[mois],1)</f>
        <v>350</v>
      </c>
      <c r="D20" s="1">
        <f>SUMIFS(depense[montant],depense[Caegorie],$B20,depense[mois],2)</f>
        <v>200</v>
      </c>
      <c r="E20" s="1">
        <f>SUMIFS(depense[montant],depense[Caegorie],$B20,depense[mois],3)</f>
        <v>200</v>
      </c>
      <c r="F20" s="1">
        <f>SUMIFS(depense[montant],depense[Caegorie],$B20,depense[mois],4)</f>
        <v>0</v>
      </c>
      <c r="G20" s="1">
        <f>SUMIFS(depense[montant],depense[Caegorie],$B20,depense[mois],5)</f>
        <v>0</v>
      </c>
      <c r="H20" s="1">
        <f>SUMIFS(depense[montant],depense[Caegorie],$B20,depense[mois],6)</f>
        <v>0</v>
      </c>
      <c r="I20" s="1">
        <f>SUMIFS(depense[montant],depense[Caegorie],$B20,depense[mois],7)</f>
        <v>20</v>
      </c>
      <c r="J20" s="1">
        <f>SUMIFS(depense[montant],depense[Caegorie],$B20,depense[mois],8)</f>
        <v>0</v>
      </c>
      <c r="K20" s="1">
        <f>SUMIFS(depense[montant],depense[Caegorie],$B20,depense[mois],9)</f>
        <v>0</v>
      </c>
      <c r="L20" s="1">
        <f>SUMIFS(depense[montant],depense[Caegorie],$B20,depense[mois],10)</f>
        <v>0</v>
      </c>
      <c r="M20" s="1">
        <f>SUMIFS(depense[montant],depense[Caegorie],$B20,depense[mois],11)</f>
        <v>0</v>
      </c>
      <c r="N20" s="1">
        <f>SUMIFS(depense[montant],depense[Caegorie],$B20,depense[mois],12)</f>
        <v>0</v>
      </c>
      <c r="O20" s="1">
        <f>SUM(maison[[#This Row],[Colonne2]:[Colonne13]])</f>
        <v>770</v>
      </c>
      <c r="BD20" s="15">
        <v>45305</v>
      </c>
    </row>
    <row r="21" spans="2:56" ht="18.5" x14ac:dyDescent="0.45">
      <c r="B21" s="1" t="s">
        <v>27</v>
      </c>
      <c r="C21" s="1">
        <f>SUMIFS(depense[montant],depense[Caegorie],$B21,depense[mois],1)</f>
        <v>100</v>
      </c>
      <c r="D21" s="1">
        <f>SUMIFS(depense[montant],depense[Caegorie],$B21,depense[mois],2)</f>
        <v>0</v>
      </c>
      <c r="E21" s="1">
        <f>SUMIFS(depense[montant],depense[Caegorie],$B21,depense[mois],3)</f>
        <v>60</v>
      </c>
      <c r="F21" s="1">
        <f>SUMIFS(depense[montant],depense[Caegorie],$B21,depense[mois],4)</f>
        <v>0</v>
      </c>
      <c r="G21" s="1">
        <f>SUMIFS(depense[montant],depense[Caegorie],$B21,depense[mois],5)</f>
        <v>0</v>
      </c>
      <c r="H21" s="1">
        <f>SUMIFS(depense[montant],depense[Caegorie],$B21,depense[mois],6)</f>
        <v>0</v>
      </c>
      <c r="I21" s="1">
        <f>SUMIFS(depense[montant],depense[Caegorie],$B21,depense[mois],7)</f>
        <v>50</v>
      </c>
      <c r="J21" s="1">
        <f>SUMIFS(depense[montant],depense[Caegorie],$B21,depense[mois],8)</f>
        <v>0</v>
      </c>
      <c r="K21" s="1">
        <f>SUMIFS(depense[montant],depense[Caegorie],$B21,depense[mois],9)</f>
        <v>0</v>
      </c>
      <c r="L21" s="1">
        <f>SUMIFS(depense[montant],depense[Caegorie],$B21,depense[mois],10)</f>
        <v>0</v>
      </c>
      <c r="M21" s="1">
        <f>SUMIFS(depense[montant],depense[Caegorie],$B21,depense[mois],11)</f>
        <v>0</v>
      </c>
      <c r="N21" s="1">
        <f>SUMIFS(depense[montant],depense[Caegorie],$B21,depense[mois],12)</f>
        <v>0</v>
      </c>
      <c r="O21" s="1">
        <f>SUM(maison[[#This Row],[Colonne2]:[Colonne13]])</f>
        <v>210</v>
      </c>
      <c r="BD21" s="15">
        <v>45306</v>
      </c>
    </row>
    <row r="22" spans="2:56" ht="18.5" x14ac:dyDescent="0.45">
      <c r="B22" s="1" t="s">
        <v>45</v>
      </c>
      <c r="C22" s="1">
        <f>SUMIFS(depense[montant],depense[Caegorie],$B22,depense[mois],1)</f>
        <v>400</v>
      </c>
      <c r="D22" s="1">
        <f>SUMIFS(depense[montant],depense[Caegorie],$B22,depense[mois],2)</f>
        <v>0</v>
      </c>
      <c r="E22" s="1">
        <f>SUMIFS(depense[montant],depense[Caegorie],$B22,depense[mois],3)</f>
        <v>200</v>
      </c>
      <c r="F22" s="1">
        <f>SUMIFS(depense[montant],depense[Caegorie],$B22,depense[mois],4)</f>
        <v>0</v>
      </c>
      <c r="G22" s="1">
        <f>SUMIFS(depense[montant],depense[Caegorie],$B22,depense[mois],5)</f>
        <v>0</v>
      </c>
      <c r="H22" s="1">
        <f>SUMIFS(depense[montant],depense[Caegorie],$B22,depense[mois],6)</f>
        <v>0</v>
      </c>
      <c r="I22" s="1">
        <f>SUMIFS(depense[montant],depense[Caegorie],$B22,depense[mois],7)</f>
        <v>400</v>
      </c>
      <c r="J22" s="1">
        <f>SUMIFS(depense[montant],depense[Caegorie],$B22,depense[mois],8)</f>
        <v>0</v>
      </c>
      <c r="K22" s="1">
        <f>SUMIFS(depense[montant],depense[Caegorie],$B22,depense[mois],9)</f>
        <v>100</v>
      </c>
      <c r="L22" s="1">
        <f>SUMIFS(depense[montant],depense[Caegorie],$B22,depense[mois],10)</f>
        <v>0</v>
      </c>
      <c r="M22" s="1">
        <f>SUMIFS(depense[montant],depense[Caegorie],$B22,depense[mois],11)</f>
        <v>0</v>
      </c>
      <c r="N22" s="1">
        <f>SUMIFS(depense[montant],depense[Caegorie],$B22,depense[mois],12)</f>
        <v>0</v>
      </c>
      <c r="O22" s="1">
        <f>SUM(maison[[#This Row],[Colonne2]:[Colonne13]])</f>
        <v>1100</v>
      </c>
      <c r="BD22" s="15">
        <v>45307</v>
      </c>
    </row>
    <row r="23" spans="2:56" ht="18.5" x14ac:dyDescent="0.45">
      <c r="B23" s="45" t="s">
        <v>22</v>
      </c>
      <c r="C23" s="45"/>
      <c r="D23" s="45"/>
      <c r="E23" s="45"/>
      <c r="F23" s="45"/>
      <c r="G23" s="45"/>
      <c r="H23" s="45"/>
      <c r="I23" s="45"/>
      <c r="J23" s="45"/>
      <c r="K23" s="45"/>
      <c r="L23" s="45"/>
      <c r="M23" s="45"/>
      <c r="N23" s="45"/>
      <c r="O23" s="45"/>
      <c r="BD23" s="15">
        <v>45308</v>
      </c>
    </row>
    <row r="24" spans="2:56" ht="18.5" x14ac:dyDescent="0.45">
      <c r="B24" s="1" t="s">
        <v>57</v>
      </c>
      <c r="C24" s="1">
        <f>SUMIFS(depense[montant],depense[Caegorie],$B24,depense[mois],1)</f>
        <v>270</v>
      </c>
      <c r="D24" s="1">
        <f>SUMIFS(depense[montant],depense[Caegorie],$B24,depense[mois],2)</f>
        <v>0</v>
      </c>
      <c r="E24" s="1">
        <f>SUMIFS(depense[montant],depense[Caegorie],$B24,depense[mois],3)</f>
        <v>400</v>
      </c>
      <c r="F24" s="1">
        <f>SUMIFS(depense[montant],depense[Caegorie],$B24,depense[mois],4)</f>
        <v>0</v>
      </c>
      <c r="G24" s="1">
        <f>SUMIFS(depense[montant],depense[Caegorie],$B24,depense[mois],5)</f>
        <v>0</v>
      </c>
      <c r="H24" s="1">
        <f>SUMIFS(depense[montant],depense[Caegorie],$B24,depense[mois],6)</f>
        <v>0</v>
      </c>
      <c r="I24" s="1">
        <f>SUMIFS(depense[montant],depense[Caegorie],$B24,depense[mois],7)</f>
        <v>0</v>
      </c>
      <c r="J24" s="1">
        <f>SUMIFS(depense[montant],depense[Caegorie],$B24,depense[mois],8)</f>
        <v>0</v>
      </c>
      <c r="K24" s="1">
        <f>SUMIFS(depense[montant],depense[Caegorie],$B24,depense[mois],9)</f>
        <v>0</v>
      </c>
      <c r="L24" s="1">
        <f>SUMIFS(depense[montant],depense[Caegorie],$B24,depense[mois],10)</f>
        <v>0</v>
      </c>
      <c r="M24" s="1">
        <f>SUMIFS(depense[montant],depense[Caegorie],$B24,depense[mois],11)</f>
        <v>0</v>
      </c>
      <c r="N24" s="1">
        <f>SUMIFS(depense[montant],depense[Caegorie],$B24,depense[mois],12)</f>
        <v>0</v>
      </c>
      <c r="O24" s="1">
        <f>SUM(nourriture[[#This Row],[Colonne2]:[Colonne13]])</f>
        <v>670</v>
      </c>
      <c r="BD24" s="15">
        <v>45309</v>
      </c>
    </row>
    <row r="25" spans="2:56" ht="18.5" x14ac:dyDescent="0.45">
      <c r="B25" s="1" t="s">
        <v>56</v>
      </c>
      <c r="C25" s="1">
        <f>SUMIFS(depense[montant],depense[Caegorie],$B25,depense[mois],1)</f>
        <v>200</v>
      </c>
      <c r="D25" s="1">
        <f>SUMIFS(depense[montant],depense[Caegorie],$B25,depense[mois],2)</f>
        <v>0</v>
      </c>
      <c r="E25" s="1">
        <f>SUMIFS(depense[montant],depense[Caegorie],$B25,depense[mois],3)</f>
        <v>100</v>
      </c>
      <c r="F25" s="1">
        <f>SUMIFS(depense[montant],depense[Caegorie],$B25,depense[mois],4)</f>
        <v>0</v>
      </c>
      <c r="G25" s="1">
        <f>SUMIFS(depense[montant],depense[Caegorie],$B25,depense[mois],5)</f>
        <v>0</v>
      </c>
      <c r="H25" s="1">
        <f>SUMIFS(depense[montant],depense[Caegorie],$B25,depense[mois],6)</f>
        <v>0</v>
      </c>
      <c r="I25" s="1">
        <f>SUMIFS(depense[montant],depense[Caegorie],$B25,depense[mois],7)</f>
        <v>0</v>
      </c>
      <c r="J25" s="1">
        <f>SUMIFS(depense[montant],depense[Caegorie],$B25,depense[mois],8)</f>
        <v>0</v>
      </c>
      <c r="K25" s="1">
        <f>SUMIFS(depense[montant],depense[Caegorie],$B25,depense[mois],9)</f>
        <v>0</v>
      </c>
      <c r="L25" s="1">
        <f>SUMIFS(depense[montant],depense[Caegorie],$B25,depense[mois],10)</f>
        <v>0</v>
      </c>
      <c r="M25" s="1">
        <f>SUMIFS(depense[montant],depense[Caegorie],$B25,depense[mois],11)</f>
        <v>0</v>
      </c>
      <c r="N25" s="1">
        <f>SUMIFS(depense[montant],depense[Caegorie],$B25,depense[mois],12)</f>
        <v>0</v>
      </c>
      <c r="O25" s="1">
        <f>SUM(nourriture[[#This Row],[Colonne2]:[Colonne13]])</f>
        <v>300</v>
      </c>
      <c r="BD25" s="15">
        <v>45310</v>
      </c>
    </row>
    <row r="26" spans="2:56" ht="18.5" x14ac:dyDescent="0.45">
      <c r="B26" s="45" t="s">
        <v>23</v>
      </c>
      <c r="C26" s="45"/>
      <c r="D26" s="45"/>
      <c r="E26" s="45"/>
      <c r="F26" s="45"/>
      <c r="G26" s="45"/>
      <c r="H26" s="45"/>
      <c r="I26" s="45"/>
      <c r="J26" s="45"/>
      <c r="K26" s="45"/>
      <c r="L26" s="45"/>
      <c r="M26" s="45"/>
      <c r="N26" s="45"/>
      <c r="O26" s="45"/>
      <c r="BD26" s="15">
        <v>45311</v>
      </c>
    </row>
    <row r="27" spans="2:56" ht="18.5" x14ac:dyDescent="0.45">
      <c r="B27" s="1" t="s">
        <v>28</v>
      </c>
      <c r="C27" s="1">
        <f>SUMIFS(depense[montant],depense[Caegorie],$B27,depense[mois],1)</f>
        <v>0</v>
      </c>
      <c r="D27" s="1">
        <f>SUMIFS(depense[montant],depense[Caegorie],$B27,depense[mois],2)</f>
        <v>0</v>
      </c>
      <c r="E27" s="1">
        <f>SUMIFS(depense[montant],depense[Caegorie],$B27,depense[mois],3)</f>
        <v>300</v>
      </c>
      <c r="F27" s="1">
        <f>SUMIFS(depense[montant],depense[Caegorie],$B27,depense[mois],4)</f>
        <v>0</v>
      </c>
      <c r="G27" s="1">
        <f>SUMIFS(depense[montant],depense[Caegorie],$B27,depense[mois],5)</f>
        <v>0</v>
      </c>
      <c r="H27" s="1">
        <f>SUMIFS(depense[montant],depense[Caegorie],$B27,depense[mois],6)</f>
        <v>0</v>
      </c>
      <c r="I27" s="1">
        <f>SUMIFS(depense[montant],depense[Caegorie],$B27,depense[mois],7)</f>
        <v>0</v>
      </c>
      <c r="J27" s="1">
        <f>SUMIFS(depense[montant],depense[Caegorie],$B27,depense[mois],8)</f>
        <v>0</v>
      </c>
      <c r="K27" s="1">
        <f>SUMIFS(depense[montant],depense[Caegorie],$B27,depense[mois],9)</f>
        <v>0</v>
      </c>
      <c r="L27" s="1">
        <f>SUMIFS(depense[montant],depense[Caegorie],$B27,depense[mois],10)</f>
        <v>0</v>
      </c>
      <c r="M27" s="1">
        <f>SUMIFS(depense[montant],depense[Caegorie],$B27,depense[mois],11)</f>
        <v>0</v>
      </c>
      <c r="N27" s="1">
        <f>SUMIFS(depense[montant],depense[Caegorie],$B27,depense[mois],12)</f>
        <v>0</v>
      </c>
      <c r="O27" s="1">
        <f>SUM(transport[[#This Row],[Colonne2]:[Colonne13]])</f>
        <v>300</v>
      </c>
      <c r="BD27" s="15">
        <v>45312</v>
      </c>
    </row>
    <row r="28" spans="2:56" ht="18.5" x14ac:dyDescent="0.45">
      <c r="B28" s="1" t="s">
        <v>29</v>
      </c>
      <c r="C28" s="1">
        <f>SUMIFS(depense[montant],depense[Caegorie],$B28,depense[mois],1)</f>
        <v>50</v>
      </c>
      <c r="D28" s="1">
        <f>SUMIFS(depense[montant],depense[Caegorie],$B28,depense[mois],2)</f>
        <v>0</v>
      </c>
      <c r="E28" s="1">
        <f>SUMIFS(depense[montant],depense[Caegorie],$B28,depense[mois],3)</f>
        <v>150</v>
      </c>
      <c r="F28" s="1">
        <f>SUMIFS(depense[montant],depense[Caegorie],$B28,depense[mois],4)</f>
        <v>0</v>
      </c>
      <c r="G28" s="1">
        <f>SUMIFS(depense[montant],depense[Caegorie],$B28,depense[mois],5)</f>
        <v>0</v>
      </c>
      <c r="H28" s="1">
        <f>SUMIFS(depense[montant],depense[Caegorie],$B28,depense[mois],6)</f>
        <v>0</v>
      </c>
      <c r="I28" s="1">
        <f>SUMIFS(depense[montant],depense[Caegorie],$B28,depense[mois],7)</f>
        <v>100</v>
      </c>
      <c r="J28" s="1">
        <f>SUMIFS(depense[montant],depense[Caegorie],$B28,depense[mois],8)</f>
        <v>0</v>
      </c>
      <c r="K28" s="1">
        <f>SUMIFS(depense[montant],depense[Caegorie],$B28,depense[mois],9)</f>
        <v>0</v>
      </c>
      <c r="L28" s="1">
        <f>SUMIFS(depense[montant],depense[Caegorie],$B28,depense[mois],10)</f>
        <v>0</v>
      </c>
      <c r="M28" s="1">
        <f>SUMIFS(depense[montant],depense[Caegorie],$B28,depense[mois],11)</f>
        <v>0</v>
      </c>
      <c r="N28" s="1">
        <f>SUMIFS(depense[montant],depense[Caegorie],$B28,depense[mois],12)</f>
        <v>0</v>
      </c>
      <c r="O28" s="1">
        <f>SUM(transport[[#This Row],[Colonne2]:[Colonne13]])</f>
        <v>300</v>
      </c>
      <c r="BD28" s="15">
        <v>45313</v>
      </c>
    </row>
    <row r="29" spans="2:56" ht="18.5" x14ac:dyDescent="0.45">
      <c r="B29" s="1" t="s">
        <v>30</v>
      </c>
      <c r="C29" s="1">
        <f>SUMIFS(depense[montant],depense[Caegorie],$B29,depense[mois],1)</f>
        <v>300</v>
      </c>
      <c r="D29" s="1">
        <f>SUMIFS(depense[montant],depense[Caegorie],$B29,depense[mois],2)</f>
        <v>0</v>
      </c>
      <c r="E29" s="1">
        <f>SUMIFS(depense[montant],depense[Caegorie],$B29,depense[mois],3)</f>
        <v>250</v>
      </c>
      <c r="F29" s="1">
        <f>SUMIFS(depense[montant],depense[Caegorie],$B29,depense[mois],4)</f>
        <v>0</v>
      </c>
      <c r="G29" s="1">
        <f>SUMIFS(depense[montant],depense[Caegorie],$B29,depense[mois],5)</f>
        <v>0</v>
      </c>
      <c r="H29" s="1">
        <f>SUMIFS(depense[montant],depense[Caegorie],$B29,depense[mois],6)</f>
        <v>0</v>
      </c>
      <c r="I29" s="1">
        <f>SUMIFS(depense[montant],depense[Caegorie],$B29,depense[mois],7)</f>
        <v>0</v>
      </c>
      <c r="J29" s="1">
        <f>SUMIFS(depense[montant],depense[Caegorie],$B29,depense[mois],8)</f>
        <v>0</v>
      </c>
      <c r="K29" s="1">
        <f>SUMIFS(depense[montant],depense[Caegorie],$B29,depense[mois],9)</f>
        <v>0</v>
      </c>
      <c r="L29" s="1">
        <f>SUMIFS(depense[montant],depense[Caegorie],$B29,depense[mois],10)</f>
        <v>0</v>
      </c>
      <c r="M29" s="1">
        <f>SUMIFS(depense[montant],depense[Caegorie],$B29,depense[mois],11)</f>
        <v>0</v>
      </c>
      <c r="N29" s="1">
        <f>SUMIFS(depense[montant],depense[Caegorie],$B29,depense[mois],12)</f>
        <v>0</v>
      </c>
      <c r="O29" s="1">
        <f>SUM(transport[[#This Row],[Colonne2]:[Colonne13]])</f>
        <v>550</v>
      </c>
      <c r="BD29" s="15">
        <v>45314</v>
      </c>
    </row>
    <row r="30" spans="2:56" ht="19" thickBot="1" x14ac:dyDescent="0.5">
      <c r="B30" s="18" t="s">
        <v>52</v>
      </c>
      <c r="C30" s="1">
        <f>SUMIFS(depense[montant],depense[Caegorie],$B30,depense[mois],1)</f>
        <v>0</v>
      </c>
      <c r="D30" s="1">
        <f>SUMIFS(depense[montant],depense[Caegorie],$B30,depense[mois],2)</f>
        <v>0</v>
      </c>
      <c r="E30" s="1">
        <f>SUMIFS(depense[montant],depense[Caegorie],$B30,depense[mois],3)</f>
        <v>0</v>
      </c>
      <c r="F30" s="1">
        <f>SUMIFS(depense[montant],depense[Caegorie],$B30,depense[mois],4)</f>
        <v>0</v>
      </c>
      <c r="G30" s="1">
        <f>SUMIFS(depense[montant],depense[Caegorie],$B30,depense[mois],5)</f>
        <v>0</v>
      </c>
      <c r="H30" s="1">
        <f>SUMIFS(depense[montant],depense[Caegorie],$B30,depense[mois],6)</f>
        <v>0</v>
      </c>
      <c r="I30" s="1">
        <f>SUMIFS(depense[montant],depense[Caegorie],$B30,depense[mois],7)</f>
        <v>2</v>
      </c>
      <c r="J30" s="1">
        <f>SUMIFS(depense[montant],depense[Caegorie],$B30,depense[mois],8)</f>
        <v>0</v>
      </c>
      <c r="K30" s="1">
        <f>SUMIFS(depense[montant],depense[Caegorie],$B30,depense[mois],9)</f>
        <v>0</v>
      </c>
      <c r="L30" s="1">
        <f>SUMIFS(depense[montant],depense[Caegorie],$B30,depense[mois],10)</f>
        <v>0</v>
      </c>
      <c r="M30" s="1">
        <f>SUMIFS(depense[montant],depense[Caegorie],$B30,depense[mois],11)</f>
        <v>0</v>
      </c>
      <c r="N30" s="1">
        <f>SUMIFS(depense[montant],depense[Caegorie],$B30,depense[mois],12)</f>
        <v>0</v>
      </c>
      <c r="O30" s="1">
        <f>SUM(transport[[#This Row],[Colonne2]:[Colonne13]])</f>
        <v>2</v>
      </c>
      <c r="BD30" s="15">
        <v>45315</v>
      </c>
    </row>
    <row r="31" spans="2:56" ht="22" thickTop="1" thickBot="1" x14ac:dyDescent="0.55000000000000004">
      <c r="B31" s="9" t="s">
        <v>25</v>
      </c>
      <c r="C31" s="7">
        <f>SUM(maison[[#All],[Colonne2]],nourriture[[#All],[Colonne2]],transport[[#All],[Colonne2]])</f>
        <v>4920</v>
      </c>
      <c r="D31" s="7">
        <f>SUM(maison[[#All],[Colonne3]],nourriture[[#All],[Colonne3]],transport[[#All],[Colonne3]])</f>
        <v>3403</v>
      </c>
      <c r="E31" s="7">
        <f>SUM(maison[[#All],[Colonne4]],nourriture[[#All],[Colonne4]],transport[[#All],[Colonne4]])</f>
        <v>4810</v>
      </c>
      <c r="F31" s="7">
        <f>SUM(maison[[#All],[Colonne5]],nourriture[[#All],[Colonne5]],transport[[#All],[Colonne5]])</f>
        <v>3000</v>
      </c>
      <c r="G31" s="7">
        <f>SUM(maison[[#All],[Colonne6]],nourriture[[#All],[Colonne6]],transport[[#All],[Colonne6]])</f>
        <v>3500</v>
      </c>
      <c r="H31" s="7">
        <f>SUM(maison[[#All],[Colonne7]],nourriture[[#All],[Colonne7]],transport[[#All],[Colonne7]])</f>
        <v>3500</v>
      </c>
      <c r="I31" s="7">
        <f>SUM(maison[[#All],[Colonne8]],nourriture[[#All],[Colonne8]],transport[[#All],[Colonne8]])</f>
        <v>1772</v>
      </c>
      <c r="J31" s="7">
        <f>SUM(maison[[#All],[Colonne9]],nourriture[[#All],[Colonne9]],transport[[#All],[Colonne9]])</f>
        <v>0</v>
      </c>
      <c r="K31" s="7">
        <f>SUM(maison[[#All],[Colonne10]],nourriture[[#All],[Colonne10]],transport[[#All],[Colonne10]])</f>
        <v>3900</v>
      </c>
      <c r="L31" s="7">
        <f>SUM(maison[[#All],[Colonne11]],nourriture[[#All],[Colonne11]],transport[[#All],[Colonne11]])</f>
        <v>4000</v>
      </c>
      <c r="M31" s="7">
        <f>SUM(maison[[#All],[Colonne12]],nourriture[[#All],[Colonne12]],transport[[#All],[Colonne12]])</f>
        <v>4000</v>
      </c>
      <c r="N31" s="7">
        <f>SUM(maison[[#All],[Colonne13]],nourriture[[#All],[Colonne13]],transport[[#All],[Colonne13]])</f>
        <v>5000</v>
      </c>
      <c r="O31" s="8">
        <f>SUM(maison[[#All],[Colonne14]],nourriture[[#All],[Colonne14]],transport[[#All],[Colonne14]])</f>
        <v>41805</v>
      </c>
      <c r="BD31" s="15">
        <v>45316</v>
      </c>
    </row>
    <row r="32" spans="2:56" ht="19.5" thickTop="1" thickBot="1" x14ac:dyDescent="0.5">
      <c r="B32" s="1"/>
      <c r="C32" s="1"/>
      <c r="D32" s="1"/>
      <c r="E32" s="1"/>
      <c r="F32" s="1"/>
      <c r="G32" s="1"/>
      <c r="H32" s="1"/>
      <c r="I32" s="1"/>
      <c r="J32" s="1"/>
      <c r="K32" s="1"/>
      <c r="L32" s="1"/>
      <c r="M32" s="1"/>
      <c r="N32" s="1"/>
      <c r="O32" s="1"/>
      <c r="BD32" s="15">
        <v>45317</v>
      </c>
    </row>
    <row r="33" spans="2:56" ht="19.5" thickTop="1" thickBot="1" x14ac:dyDescent="0.4">
      <c r="B33" s="13" t="s">
        <v>31</v>
      </c>
      <c r="C33" s="12">
        <f>revenue[[#Totals],[Janv.]]-C31</f>
        <v>9680</v>
      </c>
      <c r="D33" s="12">
        <f>revenue[[#Totals],[Fev.]]-D31</f>
        <v>19091</v>
      </c>
      <c r="E33" s="12">
        <f>revenue[[#Totals],[Mars.]]-E31</f>
        <v>7890</v>
      </c>
      <c r="F33" s="12">
        <f>revenue[[#Totals],[Avril]]-F31</f>
        <v>7650</v>
      </c>
      <c r="G33" s="12">
        <f>revenue[[#Totals],[Mai]]-G31</f>
        <v>-3400</v>
      </c>
      <c r="H33" s="12">
        <f>revenue[[#Totals],[Juin]]-H31</f>
        <v>-2260</v>
      </c>
      <c r="I33" s="12">
        <f>revenue[[#Totals],[Juillet]]-I31</f>
        <v>35495</v>
      </c>
      <c r="J33" s="12">
        <f>revenue[[#Totals],[Aout]]-J31</f>
        <v>1000</v>
      </c>
      <c r="K33" s="12">
        <f>revenue[[#Totals],[Sept.]]-K31</f>
        <v>9100</v>
      </c>
      <c r="L33" s="12">
        <f>revenue[[#Totals],[Oct.]]-L31</f>
        <v>-60</v>
      </c>
      <c r="M33" s="12">
        <f>revenue[[#Totals],[Nov.]]-M31</f>
        <v>19000</v>
      </c>
      <c r="N33" s="12">
        <f>revenue[[#Totals],[Dec]]-N31</f>
        <v>9000</v>
      </c>
      <c r="O33" s="14">
        <f>revenue[[#Totals],[Year to Date]]-O31</f>
        <v>112186</v>
      </c>
      <c r="BD33" s="15">
        <v>45318</v>
      </c>
    </row>
    <row r="34" spans="2:56" ht="15" thickTop="1" x14ac:dyDescent="0.35">
      <c r="BD34" s="15">
        <v>45319</v>
      </c>
    </row>
    <row r="35" spans="2:56" x14ac:dyDescent="0.35">
      <c r="BD35" s="15">
        <v>45320</v>
      </c>
    </row>
    <row r="36" spans="2:56" x14ac:dyDescent="0.35">
      <c r="BD36" s="15">
        <v>45321</v>
      </c>
    </row>
    <row r="37" spans="2:56" x14ac:dyDescent="0.35">
      <c r="BD37" s="15">
        <v>45322</v>
      </c>
    </row>
    <row r="38" spans="2:56" x14ac:dyDescent="0.35">
      <c r="BD38" s="15">
        <v>45323</v>
      </c>
    </row>
    <row r="39" spans="2:56" x14ac:dyDescent="0.35">
      <c r="BD39" s="15">
        <v>45324</v>
      </c>
    </row>
    <row r="40" spans="2:56" x14ac:dyDescent="0.35">
      <c r="BD40" s="15">
        <v>45325</v>
      </c>
    </row>
    <row r="41" spans="2:56" x14ac:dyDescent="0.35">
      <c r="BD41" s="15">
        <v>45326</v>
      </c>
    </row>
    <row r="42" spans="2:56" x14ac:dyDescent="0.35">
      <c r="BD42" s="15">
        <v>45327</v>
      </c>
    </row>
    <row r="43" spans="2:56" x14ac:dyDescent="0.35">
      <c r="BD43" s="15">
        <v>45328</v>
      </c>
    </row>
    <row r="44" spans="2:56" x14ac:dyDescent="0.35">
      <c r="BD44" s="15">
        <v>45329</v>
      </c>
    </row>
    <row r="45" spans="2:56" x14ac:dyDescent="0.35">
      <c r="BD45" s="15">
        <v>45330</v>
      </c>
    </row>
    <row r="46" spans="2:56" x14ac:dyDescent="0.35">
      <c r="BD46" s="15">
        <v>45331</v>
      </c>
    </row>
    <row r="47" spans="2:56" x14ac:dyDescent="0.35">
      <c r="BD47" s="15">
        <v>45332</v>
      </c>
    </row>
    <row r="48" spans="2:56" x14ac:dyDescent="0.35">
      <c r="BD48" s="15">
        <v>45333</v>
      </c>
    </row>
    <row r="49" spans="56:56" x14ac:dyDescent="0.35">
      <c r="BD49" s="15">
        <v>45334</v>
      </c>
    </row>
    <row r="50" spans="56:56" x14ac:dyDescent="0.35">
      <c r="BD50" s="15">
        <v>45335</v>
      </c>
    </row>
    <row r="51" spans="56:56" x14ac:dyDescent="0.35">
      <c r="BD51" s="15">
        <v>45336</v>
      </c>
    </row>
    <row r="52" spans="56:56" x14ac:dyDescent="0.35">
      <c r="BD52" s="15">
        <v>45337</v>
      </c>
    </row>
    <row r="53" spans="56:56" x14ac:dyDescent="0.35">
      <c r="BD53" s="15">
        <v>45338</v>
      </c>
    </row>
    <row r="54" spans="56:56" x14ac:dyDescent="0.35">
      <c r="BD54" s="15">
        <v>45339</v>
      </c>
    </row>
    <row r="55" spans="56:56" x14ac:dyDescent="0.35">
      <c r="BD55" s="15">
        <v>45340</v>
      </c>
    </row>
    <row r="56" spans="56:56" x14ac:dyDescent="0.35">
      <c r="BD56" s="15">
        <v>45341</v>
      </c>
    </row>
    <row r="57" spans="56:56" x14ac:dyDescent="0.35">
      <c r="BD57" s="15">
        <v>45342</v>
      </c>
    </row>
    <row r="58" spans="56:56" x14ac:dyDescent="0.35">
      <c r="BD58" s="15">
        <v>45343</v>
      </c>
    </row>
    <row r="59" spans="56:56" x14ac:dyDescent="0.35">
      <c r="BD59" s="15">
        <v>45344</v>
      </c>
    </row>
    <row r="60" spans="56:56" x14ac:dyDescent="0.35">
      <c r="BD60" s="15">
        <v>45345</v>
      </c>
    </row>
    <row r="61" spans="56:56" x14ac:dyDescent="0.35">
      <c r="BD61" s="15">
        <v>45346</v>
      </c>
    </row>
    <row r="62" spans="56:56" x14ac:dyDescent="0.35">
      <c r="BD62" s="15">
        <v>45347</v>
      </c>
    </row>
    <row r="63" spans="56:56" x14ac:dyDescent="0.35">
      <c r="BD63" s="15">
        <v>45348</v>
      </c>
    </row>
    <row r="64" spans="56:56" x14ac:dyDescent="0.35">
      <c r="BD64" s="15">
        <v>45349</v>
      </c>
    </row>
    <row r="65" spans="22:56" x14ac:dyDescent="0.35">
      <c r="BD65" s="15">
        <v>45350</v>
      </c>
    </row>
    <row r="66" spans="22:56" x14ac:dyDescent="0.35">
      <c r="BD66" s="15">
        <v>45351</v>
      </c>
    </row>
    <row r="67" spans="22:56" x14ac:dyDescent="0.35">
      <c r="BD67" s="15">
        <v>45352</v>
      </c>
    </row>
    <row r="68" spans="22:56" x14ac:dyDescent="0.35">
      <c r="BD68" s="15">
        <v>45353</v>
      </c>
    </row>
    <row r="69" spans="22:56" x14ac:dyDescent="0.35">
      <c r="BD69" s="15">
        <v>45354</v>
      </c>
    </row>
    <row r="70" spans="22:56" x14ac:dyDescent="0.35">
      <c r="V70" s="15"/>
      <c r="W70" s="15"/>
      <c r="BD70" s="15">
        <v>45355</v>
      </c>
    </row>
    <row r="71" spans="22:56" x14ac:dyDescent="0.35">
      <c r="BD71" s="15">
        <v>45356</v>
      </c>
    </row>
    <row r="72" spans="22:56" x14ac:dyDescent="0.35">
      <c r="BD72" s="15">
        <v>45357</v>
      </c>
    </row>
    <row r="73" spans="22:56" x14ac:dyDescent="0.35">
      <c r="BD73" s="15">
        <v>45358</v>
      </c>
    </row>
    <row r="74" spans="22:56" x14ac:dyDescent="0.35">
      <c r="BD74" s="15">
        <v>45359</v>
      </c>
    </row>
    <row r="75" spans="22:56" x14ac:dyDescent="0.35">
      <c r="BD75" s="15">
        <v>45360</v>
      </c>
    </row>
    <row r="76" spans="22:56" x14ac:dyDescent="0.35">
      <c r="BD76" s="15">
        <v>45361</v>
      </c>
    </row>
    <row r="77" spans="22:56" x14ac:dyDescent="0.35">
      <c r="BD77" s="15">
        <v>45362</v>
      </c>
    </row>
    <row r="78" spans="22:56" x14ac:dyDescent="0.35">
      <c r="BD78" s="15">
        <v>45363</v>
      </c>
    </row>
    <row r="79" spans="22:56" x14ac:dyDescent="0.35">
      <c r="BD79" s="15">
        <v>45364</v>
      </c>
    </row>
    <row r="80" spans="22:56" x14ac:dyDescent="0.35">
      <c r="BD80" s="15">
        <v>45365</v>
      </c>
    </row>
    <row r="81" spans="56:56" x14ac:dyDescent="0.35">
      <c r="BD81" s="15">
        <v>45366</v>
      </c>
    </row>
    <row r="82" spans="56:56" x14ac:dyDescent="0.35">
      <c r="BD82" s="15">
        <v>45367</v>
      </c>
    </row>
    <row r="83" spans="56:56" x14ac:dyDescent="0.35">
      <c r="BD83" s="15">
        <v>45368</v>
      </c>
    </row>
    <row r="84" spans="56:56" x14ac:dyDescent="0.35">
      <c r="BD84" s="15">
        <v>45369</v>
      </c>
    </row>
    <row r="85" spans="56:56" x14ac:dyDescent="0.35">
      <c r="BD85" s="15">
        <v>45370</v>
      </c>
    </row>
    <row r="86" spans="56:56" x14ac:dyDescent="0.35">
      <c r="BD86" s="15">
        <v>45371</v>
      </c>
    </row>
    <row r="87" spans="56:56" x14ac:dyDescent="0.35">
      <c r="BD87" s="15">
        <v>45372</v>
      </c>
    </row>
    <row r="88" spans="56:56" x14ac:dyDescent="0.35">
      <c r="BD88" s="15">
        <v>45373</v>
      </c>
    </row>
    <row r="89" spans="56:56" x14ac:dyDescent="0.35">
      <c r="BD89" s="15">
        <v>45374</v>
      </c>
    </row>
    <row r="90" spans="56:56" x14ac:dyDescent="0.35">
      <c r="BD90" s="15">
        <v>45375</v>
      </c>
    </row>
    <row r="91" spans="56:56" x14ac:dyDescent="0.35">
      <c r="BD91" s="15">
        <v>45376</v>
      </c>
    </row>
    <row r="92" spans="56:56" x14ac:dyDescent="0.35">
      <c r="BD92" s="15">
        <v>45377</v>
      </c>
    </row>
    <row r="93" spans="56:56" x14ac:dyDescent="0.35">
      <c r="BD93" s="15">
        <v>45378</v>
      </c>
    </row>
    <row r="94" spans="56:56" x14ac:dyDescent="0.35">
      <c r="BD94" s="15">
        <v>45379</v>
      </c>
    </row>
    <row r="95" spans="56:56" x14ac:dyDescent="0.35">
      <c r="BD95" s="15">
        <v>45380</v>
      </c>
    </row>
    <row r="96" spans="56:56" x14ac:dyDescent="0.35">
      <c r="BD96" s="15">
        <v>45381</v>
      </c>
    </row>
    <row r="97" spans="56:56" x14ac:dyDescent="0.35">
      <c r="BD97" s="15">
        <v>45382</v>
      </c>
    </row>
    <row r="98" spans="56:56" x14ac:dyDescent="0.35">
      <c r="BD98" s="15">
        <v>45383</v>
      </c>
    </row>
    <row r="99" spans="56:56" x14ac:dyDescent="0.35">
      <c r="BD99" s="15">
        <v>45384</v>
      </c>
    </row>
    <row r="100" spans="56:56" x14ac:dyDescent="0.35">
      <c r="BD100" s="15">
        <v>45385</v>
      </c>
    </row>
    <row r="101" spans="56:56" x14ac:dyDescent="0.35">
      <c r="BD101" s="15">
        <v>45386</v>
      </c>
    </row>
    <row r="102" spans="56:56" x14ac:dyDescent="0.35">
      <c r="BD102" s="15">
        <v>45387</v>
      </c>
    </row>
    <row r="103" spans="56:56" x14ac:dyDescent="0.35">
      <c r="BD103" s="15">
        <v>45388</v>
      </c>
    </row>
    <row r="104" spans="56:56" x14ac:dyDescent="0.35">
      <c r="BD104" s="15">
        <v>45389</v>
      </c>
    </row>
    <row r="105" spans="56:56" x14ac:dyDescent="0.35">
      <c r="BD105" s="15">
        <v>45390</v>
      </c>
    </row>
    <row r="106" spans="56:56" x14ac:dyDescent="0.35">
      <c r="BD106" s="15">
        <v>45391</v>
      </c>
    </row>
    <row r="107" spans="56:56" x14ac:dyDescent="0.35">
      <c r="BD107" s="15">
        <v>45392</v>
      </c>
    </row>
    <row r="108" spans="56:56" x14ac:dyDescent="0.35">
      <c r="BD108" s="15">
        <v>45393</v>
      </c>
    </row>
    <row r="109" spans="56:56" x14ac:dyDescent="0.35">
      <c r="BD109" s="15">
        <v>45394</v>
      </c>
    </row>
    <row r="110" spans="56:56" x14ac:dyDescent="0.35">
      <c r="BD110" s="15">
        <v>45395</v>
      </c>
    </row>
    <row r="111" spans="56:56" x14ac:dyDescent="0.35">
      <c r="BD111" s="15">
        <v>45396</v>
      </c>
    </row>
    <row r="112" spans="56:56" x14ac:dyDescent="0.35">
      <c r="BD112" s="15">
        <v>45397</v>
      </c>
    </row>
    <row r="113" spans="56:56" x14ac:dyDescent="0.35">
      <c r="BD113" s="15">
        <v>45398</v>
      </c>
    </row>
    <row r="114" spans="56:56" x14ac:dyDescent="0.35">
      <c r="BD114" s="15">
        <v>45399</v>
      </c>
    </row>
    <row r="115" spans="56:56" x14ac:dyDescent="0.35">
      <c r="BD115" s="15">
        <v>45400</v>
      </c>
    </row>
    <row r="116" spans="56:56" x14ac:dyDescent="0.35">
      <c r="BD116" s="15">
        <v>45401</v>
      </c>
    </row>
    <row r="117" spans="56:56" x14ac:dyDescent="0.35">
      <c r="BD117" s="15">
        <v>45402</v>
      </c>
    </row>
    <row r="118" spans="56:56" x14ac:dyDescent="0.35">
      <c r="BD118" s="15">
        <v>45403</v>
      </c>
    </row>
    <row r="119" spans="56:56" x14ac:dyDescent="0.35">
      <c r="BD119" s="15">
        <v>45404</v>
      </c>
    </row>
    <row r="120" spans="56:56" x14ac:dyDescent="0.35">
      <c r="BD120" s="15">
        <v>45405</v>
      </c>
    </row>
    <row r="121" spans="56:56" x14ac:dyDescent="0.35">
      <c r="BD121" s="15">
        <v>45406</v>
      </c>
    </row>
    <row r="122" spans="56:56" x14ac:dyDescent="0.35">
      <c r="BD122" s="15">
        <v>45407</v>
      </c>
    </row>
    <row r="123" spans="56:56" x14ac:dyDescent="0.35">
      <c r="BD123" s="15">
        <v>45408</v>
      </c>
    </row>
    <row r="124" spans="56:56" x14ac:dyDescent="0.35">
      <c r="BD124" s="15">
        <v>45409</v>
      </c>
    </row>
    <row r="125" spans="56:56" x14ac:dyDescent="0.35">
      <c r="BD125" s="15">
        <v>45410</v>
      </c>
    </row>
    <row r="126" spans="56:56" x14ac:dyDescent="0.35">
      <c r="BD126" s="15">
        <v>45411</v>
      </c>
    </row>
    <row r="127" spans="56:56" x14ac:dyDescent="0.35">
      <c r="BD127" s="15">
        <v>45412</v>
      </c>
    </row>
    <row r="128" spans="56:56" x14ac:dyDescent="0.35">
      <c r="BD128" s="15">
        <v>45413</v>
      </c>
    </row>
    <row r="129" spans="56:56" x14ac:dyDescent="0.35">
      <c r="BD129" s="15">
        <v>45414</v>
      </c>
    </row>
    <row r="130" spans="56:56" x14ac:dyDescent="0.35">
      <c r="BD130" s="15">
        <v>45415</v>
      </c>
    </row>
    <row r="131" spans="56:56" x14ac:dyDescent="0.35">
      <c r="BD131" s="15">
        <v>45416</v>
      </c>
    </row>
    <row r="132" spans="56:56" x14ac:dyDescent="0.35">
      <c r="BD132" s="15">
        <v>45417</v>
      </c>
    </row>
    <row r="133" spans="56:56" x14ac:dyDescent="0.35">
      <c r="BD133" s="15">
        <v>45418</v>
      </c>
    </row>
    <row r="134" spans="56:56" x14ac:dyDescent="0.35">
      <c r="BD134" s="15">
        <v>45419</v>
      </c>
    </row>
    <row r="135" spans="56:56" x14ac:dyDescent="0.35">
      <c r="BD135" s="15">
        <v>45420</v>
      </c>
    </row>
    <row r="136" spans="56:56" x14ac:dyDescent="0.35">
      <c r="BD136" s="15">
        <v>45421</v>
      </c>
    </row>
    <row r="137" spans="56:56" x14ac:dyDescent="0.35">
      <c r="BD137" s="15">
        <v>45422</v>
      </c>
    </row>
    <row r="138" spans="56:56" x14ac:dyDescent="0.35">
      <c r="BD138" s="15">
        <v>45423</v>
      </c>
    </row>
    <row r="139" spans="56:56" x14ac:dyDescent="0.35">
      <c r="BD139" s="15">
        <v>45424</v>
      </c>
    </row>
    <row r="140" spans="56:56" x14ac:dyDescent="0.35">
      <c r="BD140" s="15">
        <v>45425</v>
      </c>
    </row>
    <row r="141" spans="56:56" x14ac:dyDescent="0.35">
      <c r="BD141" s="15">
        <v>45426</v>
      </c>
    </row>
    <row r="142" spans="56:56" x14ac:dyDescent="0.35">
      <c r="BD142" s="15">
        <v>45427</v>
      </c>
    </row>
    <row r="143" spans="56:56" x14ac:dyDescent="0.35">
      <c r="BD143" s="15">
        <v>45428</v>
      </c>
    </row>
    <row r="144" spans="56:56" x14ac:dyDescent="0.35">
      <c r="BD144" s="15">
        <v>45429</v>
      </c>
    </row>
    <row r="145" spans="56:56" x14ac:dyDescent="0.35">
      <c r="BD145" s="15">
        <v>45430</v>
      </c>
    </row>
    <row r="146" spans="56:56" x14ac:dyDescent="0.35">
      <c r="BD146" s="15">
        <v>45431</v>
      </c>
    </row>
    <row r="147" spans="56:56" x14ac:dyDescent="0.35">
      <c r="BD147" s="15">
        <v>45432</v>
      </c>
    </row>
    <row r="148" spans="56:56" x14ac:dyDescent="0.35">
      <c r="BD148" s="15">
        <v>45433</v>
      </c>
    </row>
    <row r="149" spans="56:56" x14ac:dyDescent="0.35">
      <c r="BD149" s="15">
        <v>45434</v>
      </c>
    </row>
    <row r="150" spans="56:56" x14ac:dyDescent="0.35">
      <c r="BD150" s="15">
        <v>45435</v>
      </c>
    </row>
    <row r="151" spans="56:56" x14ac:dyDescent="0.35">
      <c r="BD151" s="15">
        <v>45436</v>
      </c>
    </row>
    <row r="152" spans="56:56" x14ac:dyDescent="0.35">
      <c r="BD152" s="15">
        <v>45437</v>
      </c>
    </row>
    <row r="153" spans="56:56" x14ac:dyDescent="0.35">
      <c r="BD153" s="15">
        <v>45438</v>
      </c>
    </row>
    <row r="154" spans="56:56" x14ac:dyDescent="0.35">
      <c r="BD154" s="15">
        <v>45439</v>
      </c>
    </row>
    <row r="155" spans="56:56" x14ac:dyDescent="0.35">
      <c r="BD155" s="15">
        <v>45440</v>
      </c>
    </row>
    <row r="156" spans="56:56" x14ac:dyDescent="0.35">
      <c r="BD156" s="15">
        <v>45441</v>
      </c>
    </row>
    <row r="157" spans="56:56" x14ac:dyDescent="0.35">
      <c r="BD157" s="15">
        <v>45442</v>
      </c>
    </row>
    <row r="158" spans="56:56" x14ac:dyDescent="0.35">
      <c r="BD158" s="15">
        <v>45443</v>
      </c>
    </row>
    <row r="159" spans="56:56" x14ac:dyDescent="0.35">
      <c r="BD159" s="15">
        <v>45444</v>
      </c>
    </row>
    <row r="160" spans="56:56" x14ac:dyDescent="0.35">
      <c r="BD160" s="15">
        <v>45445</v>
      </c>
    </row>
    <row r="161" spans="56:56" x14ac:dyDescent="0.35">
      <c r="BD161" s="15">
        <v>45446</v>
      </c>
    </row>
    <row r="162" spans="56:56" x14ac:dyDescent="0.35">
      <c r="BD162" s="15">
        <v>45447</v>
      </c>
    </row>
    <row r="163" spans="56:56" x14ac:dyDescent="0.35">
      <c r="BD163" s="15">
        <v>45448</v>
      </c>
    </row>
    <row r="164" spans="56:56" x14ac:dyDescent="0.35">
      <c r="BD164" s="15">
        <v>45449</v>
      </c>
    </row>
    <row r="165" spans="56:56" x14ac:dyDescent="0.35">
      <c r="BD165" s="15">
        <v>45450</v>
      </c>
    </row>
    <row r="166" spans="56:56" x14ac:dyDescent="0.35">
      <c r="BD166" s="15">
        <v>45451</v>
      </c>
    </row>
    <row r="167" spans="56:56" x14ac:dyDescent="0.35">
      <c r="BD167" s="15">
        <v>45452</v>
      </c>
    </row>
    <row r="168" spans="56:56" x14ac:dyDescent="0.35">
      <c r="BD168" s="15">
        <v>45453</v>
      </c>
    </row>
    <row r="169" spans="56:56" x14ac:dyDescent="0.35">
      <c r="BD169" s="15">
        <v>45454</v>
      </c>
    </row>
    <row r="170" spans="56:56" x14ac:dyDescent="0.35">
      <c r="BD170" s="15">
        <v>45455</v>
      </c>
    </row>
    <row r="171" spans="56:56" x14ac:dyDescent="0.35">
      <c r="BD171" s="15">
        <v>45456</v>
      </c>
    </row>
    <row r="172" spans="56:56" x14ac:dyDescent="0.35">
      <c r="BD172" s="15">
        <v>45457</v>
      </c>
    </row>
    <row r="173" spans="56:56" x14ac:dyDescent="0.35">
      <c r="BD173" s="15">
        <v>45458</v>
      </c>
    </row>
    <row r="174" spans="56:56" x14ac:dyDescent="0.35">
      <c r="BD174" s="15">
        <v>45459</v>
      </c>
    </row>
    <row r="175" spans="56:56" x14ac:dyDescent="0.35">
      <c r="BD175" s="15">
        <v>45460</v>
      </c>
    </row>
    <row r="176" spans="56:56" x14ac:dyDescent="0.35">
      <c r="BD176" s="15">
        <v>45461</v>
      </c>
    </row>
    <row r="177" spans="56:56" x14ac:dyDescent="0.35">
      <c r="BD177" s="15">
        <v>45462</v>
      </c>
    </row>
    <row r="178" spans="56:56" x14ac:dyDescent="0.35">
      <c r="BD178" s="15">
        <v>45463</v>
      </c>
    </row>
    <row r="179" spans="56:56" x14ac:dyDescent="0.35">
      <c r="BD179" s="15">
        <v>45464</v>
      </c>
    </row>
    <row r="180" spans="56:56" x14ac:dyDescent="0.35">
      <c r="BD180" s="15">
        <v>45465</v>
      </c>
    </row>
    <row r="181" spans="56:56" x14ac:dyDescent="0.35">
      <c r="BD181" s="15">
        <v>45466</v>
      </c>
    </row>
    <row r="182" spans="56:56" x14ac:dyDescent="0.35">
      <c r="BD182" s="15">
        <v>45467</v>
      </c>
    </row>
    <row r="183" spans="56:56" x14ac:dyDescent="0.35">
      <c r="BD183" s="15">
        <v>45468</v>
      </c>
    </row>
    <row r="184" spans="56:56" x14ac:dyDescent="0.35">
      <c r="BD184" s="15">
        <v>45469</v>
      </c>
    </row>
    <row r="185" spans="56:56" x14ac:dyDescent="0.35">
      <c r="BD185" s="15">
        <v>45470</v>
      </c>
    </row>
    <row r="186" spans="56:56" x14ac:dyDescent="0.35">
      <c r="BD186" s="15">
        <v>45471</v>
      </c>
    </row>
    <row r="187" spans="56:56" x14ac:dyDescent="0.35">
      <c r="BD187" s="15">
        <v>45472</v>
      </c>
    </row>
    <row r="188" spans="56:56" x14ac:dyDescent="0.35">
      <c r="BD188" s="15">
        <v>45473</v>
      </c>
    </row>
    <row r="189" spans="56:56" x14ac:dyDescent="0.35">
      <c r="BD189" s="15">
        <v>45474</v>
      </c>
    </row>
    <row r="190" spans="56:56" x14ac:dyDescent="0.35">
      <c r="BD190" s="15">
        <v>45475</v>
      </c>
    </row>
    <row r="191" spans="56:56" x14ac:dyDescent="0.35">
      <c r="BD191" s="15">
        <v>45476</v>
      </c>
    </row>
    <row r="192" spans="56:56" x14ac:dyDescent="0.35">
      <c r="BD192" s="15">
        <v>45477</v>
      </c>
    </row>
    <row r="193" spans="56:56" x14ac:dyDescent="0.35">
      <c r="BD193" s="15">
        <v>45478</v>
      </c>
    </row>
    <row r="194" spans="56:56" x14ac:dyDescent="0.35">
      <c r="BD194" s="15">
        <v>45479</v>
      </c>
    </row>
    <row r="195" spans="56:56" x14ac:dyDescent="0.35">
      <c r="BD195" s="15">
        <v>45480</v>
      </c>
    </row>
    <row r="196" spans="56:56" x14ac:dyDescent="0.35">
      <c r="BD196" s="15">
        <v>45481</v>
      </c>
    </row>
    <row r="197" spans="56:56" x14ac:dyDescent="0.35">
      <c r="BD197" s="15">
        <v>45482</v>
      </c>
    </row>
    <row r="198" spans="56:56" x14ac:dyDescent="0.35">
      <c r="BD198" s="15">
        <v>45483</v>
      </c>
    </row>
    <row r="199" spans="56:56" x14ac:dyDescent="0.35">
      <c r="BD199" s="15">
        <v>45484</v>
      </c>
    </row>
    <row r="200" spans="56:56" x14ac:dyDescent="0.35">
      <c r="BD200" s="15">
        <v>45485</v>
      </c>
    </row>
    <row r="201" spans="56:56" x14ac:dyDescent="0.35">
      <c r="BD201" s="15">
        <v>45486</v>
      </c>
    </row>
    <row r="202" spans="56:56" x14ac:dyDescent="0.35">
      <c r="BD202" s="15">
        <v>45487</v>
      </c>
    </row>
    <row r="203" spans="56:56" x14ac:dyDescent="0.35">
      <c r="BD203" s="15">
        <v>45488</v>
      </c>
    </row>
    <row r="204" spans="56:56" x14ac:dyDescent="0.35">
      <c r="BD204" s="15">
        <v>45489</v>
      </c>
    </row>
    <row r="205" spans="56:56" x14ac:dyDescent="0.35">
      <c r="BD205" s="15">
        <v>45490</v>
      </c>
    </row>
    <row r="206" spans="56:56" x14ac:dyDescent="0.35">
      <c r="BD206" s="15">
        <v>45491</v>
      </c>
    </row>
    <row r="207" spans="56:56" x14ac:dyDescent="0.35">
      <c r="BD207" s="15">
        <v>45492</v>
      </c>
    </row>
    <row r="208" spans="56:56" x14ac:dyDescent="0.35">
      <c r="BD208" s="15">
        <v>45493</v>
      </c>
    </row>
    <row r="209" spans="56:56" x14ac:dyDescent="0.35">
      <c r="BD209" s="15">
        <v>45494</v>
      </c>
    </row>
    <row r="210" spans="56:56" x14ac:dyDescent="0.35">
      <c r="BD210" s="15">
        <v>45495</v>
      </c>
    </row>
    <row r="211" spans="56:56" x14ac:dyDescent="0.35">
      <c r="BD211" s="15">
        <v>45496</v>
      </c>
    </row>
    <row r="212" spans="56:56" x14ac:dyDescent="0.35">
      <c r="BD212" s="15">
        <v>45497</v>
      </c>
    </row>
    <row r="213" spans="56:56" x14ac:dyDescent="0.35">
      <c r="BD213" s="15">
        <v>45498</v>
      </c>
    </row>
    <row r="214" spans="56:56" x14ac:dyDescent="0.35">
      <c r="BD214" s="15">
        <v>45499</v>
      </c>
    </row>
    <row r="215" spans="56:56" x14ac:dyDescent="0.35">
      <c r="BD215" s="15">
        <v>45500</v>
      </c>
    </row>
    <row r="216" spans="56:56" x14ac:dyDescent="0.35">
      <c r="BD216" s="15">
        <v>45501</v>
      </c>
    </row>
    <row r="217" spans="56:56" x14ac:dyDescent="0.35">
      <c r="BD217" s="15">
        <v>45502</v>
      </c>
    </row>
    <row r="218" spans="56:56" x14ac:dyDescent="0.35">
      <c r="BD218" s="15">
        <v>45503</v>
      </c>
    </row>
    <row r="219" spans="56:56" x14ac:dyDescent="0.35">
      <c r="BD219" s="15">
        <v>45504</v>
      </c>
    </row>
    <row r="220" spans="56:56" x14ac:dyDescent="0.35">
      <c r="BD220" s="15">
        <v>45505</v>
      </c>
    </row>
    <row r="221" spans="56:56" x14ac:dyDescent="0.35">
      <c r="BD221" s="15">
        <v>45506</v>
      </c>
    </row>
    <row r="222" spans="56:56" x14ac:dyDescent="0.35">
      <c r="BD222" s="15">
        <v>45507</v>
      </c>
    </row>
    <row r="223" spans="56:56" x14ac:dyDescent="0.35">
      <c r="BD223" s="15">
        <v>45508</v>
      </c>
    </row>
    <row r="224" spans="56:56" x14ac:dyDescent="0.35">
      <c r="BD224" s="15">
        <v>45509</v>
      </c>
    </row>
    <row r="225" spans="56:56" x14ac:dyDescent="0.35">
      <c r="BD225" s="15">
        <v>45510</v>
      </c>
    </row>
    <row r="226" spans="56:56" x14ac:dyDescent="0.35">
      <c r="BD226" s="15">
        <v>45511</v>
      </c>
    </row>
    <row r="227" spans="56:56" x14ac:dyDescent="0.35">
      <c r="BD227" s="15">
        <v>45512</v>
      </c>
    </row>
    <row r="228" spans="56:56" x14ac:dyDescent="0.35">
      <c r="BD228" s="15">
        <v>45513</v>
      </c>
    </row>
    <row r="229" spans="56:56" x14ac:dyDescent="0.35">
      <c r="BD229" s="15">
        <v>45514</v>
      </c>
    </row>
    <row r="230" spans="56:56" x14ac:dyDescent="0.35">
      <c r="BD230" s="15">
        <v>45515</v>
      </c>
    </row>
    <row r="231" spans="56:56" x14ac:dyDescent="0.35">
      <c r="BD231" s="15">
        <v>45516</v>
      </c>
    </row>
    <row r="232" spans="56:56" x14ac:dyDescent="0.35">
      <c r="BD232" s="15">
        <v>45517</v>
      </c>
    </row>
    <row r="233" spans="56:56" x14ac:dyDescent="0.35">
      <c r="BD233" s="15">
        <v>45518</v>
      </c>
    </row>
    <row r="234" spans="56:56" x14ac:dyDescent="0.35">
      <c r="BD234" s="15">
        <v>45519</v>
      </c>
    </row>
    <row r="235" spans="56:56" x14ac:dyDescent="0.35">
      <c r="BD235" s="15">
        <v>45520</v>
      </c>
    </row>
    <row r="236" spans="56:56" x14ac:dyDescent="0.35">
      <c r="BD236" s="15">
        <v>45521</v>
      </c>
    </row>
    <row r="237" spans="56:56" x14ac:dyDescent="0.35">
      <c r="BD237" s="15">
        <v>45522</v>
      </c>
    </row>
    <row r="238" spans="56:56" x14ac:dyDescent="0.35">
      <c r="BD238" s="15">
        <v>45523</v>
      </c>
    </row>
    <row r="239" spans="56:56" x14ac:dyDescent="0.35">
      <c r="BD239" s="15">
        <v>45524</v>
      </c>
    </row>
    <row r="240" spans="56:56" x14ac:dyDescent="0.35">
      <c r="BD240" s="15">
        <v>45525</v>
      </c>
    </row>
    <row r="241" spans="56:56" x14ac:dyDescent="0.35">
      <c r="BD241" s="15">
        <v>45526</v>
      </c>
    </row>
    <row r="242" spans="56:56" x14ac:dyDescent="0.35">
      <c r="BD242" s="15">
        <v>45527</v>
      </c>
    </row>
    <row r="243" spans="56:56" x14ac:dyDescent="0.35">
      <c r="BD243" s="15">
        <v>45528</v>
      </c>
    </row>
    <row r="244" spans="56:56" x14ac:dyDescent="0.35">
      <c r="BD244" s="15">
        <v>45529</v>
      </c>
    </row>
    <row r="245" spans="56:56" x14ac:dyDescent="0.35">
      <c r="BD245" s="15">
        <v>45530</v>
      </c>
    </row>
    <row r="246" spans="56:56" x14ac:dyDescent="0.35">
      <c r="BD246" s="15">
        <v>45531</v>
      </c>
    </row>
    <row r="247" spans="56:56" x14ac:dyDescent="0.35">
      <c r="BD247" s="15">
        <v>45532</v>
      </c>
    </row>
    <row r="248" spans="56:56" x14ac:dyDescent="0.35">
      <c r="BD248" s="15">
        <v>45533</v>
      </c>
    </row>
    <row r="249" spans="56:56" x14ac:dyDescent="0.35">
      <c r="BD249" s="15">
        <v>45534</v>
      </c>
    </row>
    <row r="250" spans="56:56" x14ac:dyDescent="0.35">
      <c r="BD250" s="15">
        <v>45535</v>
      </c>
    </row>
    <row r="251" spans="56:56" x14ac:dyDescent="0.35">
      <c r="BD251" s="15">
        <v>45536</v>
      </c>
    </row>
    <row r="252" spans="56:56" x14ac:dyDescent="0.35">
      <c r="BD252" s="15">
        <v>45537</v>
      </c>
    </row>
    <row r="253" spans="56:56" x14ac:dyDescent="0.35">
      <c r="BD253" s="15">
        <v>45538</v>
      </c>
    </row>
    <row r="254" spans="56:56" x14ac:dyDescent="0.35">
      <c r="BD254" s="15">
        <v>45539</v>
      </c>
    </row>
    <row r="255" spans="56:56" x14ac:dyDescent="0.35">
      <c r="BD255" s="15">
        <v>45540</v>
      </c>
    </row>
    <row r="256" spans="56:56" x14ac:dyDescent="0.35">
      <c r="BD256" s="15">
        <v>45541</v>
      </c>
    </row>
    <row r="257" spans="56:56" x14ac:dyDescent="0.35">
      <c r="BD257" s="15">
        <v>45542</v>
      </c>
    </row>
    <row r="258" spans="56:56" x14ac:dyDescent="0.35">
      <c r="BD258" s="15">
        <v>45543</v>
      </c>
    </row>
    <row r="259" spans="56:56" x14ac:dyDescent="0.35">
      <c r="BD259" s="15">
        <v>45544</v>
      </c>
    </row>
    <row r="260" spans="56:56" x14ac:dyDescent="0.35">
      <c r="BD260" s="15">
        <v>45545</v>
      </c>
    </row>
    <row r="261" spans="56:56" x14ac:dyDescent="0.35">
      <c r="BD261" s="15">
        <v>45546</v>
      </c>
    </row>
    <row r="262" spans="56:56" x14ac:dyDescent="0.35">
      <c r="BD262" s="15">
        <v>45547</v>
      </c>
    </row>
    <row r="263" spans="56:56" x14ac:dyDescent="0.35">
      <c r="BD263" s="15">
        <v>45548</v>
      </c>
    </row>
    <row r="264" spans="56:56" x14ac:dyDescent="0.35">
      <c r="BD264" s="15">
        <v>45549</v>
      </c>
    </row>
    <row r="265" spans="56:56" x14ac:dyDescent="0.35">
      <c r="BD265" s="15">
        <v>45550</v>
      </c>
    </row>
    <row r="266" spans="56:56" x14ac:dyDescent="0.35">
      <c r="BD266" s="15">
        <v>45551</v>
      </c>
    </row>
    <row r="267" spans="56:56" x14ac:dyDescent="0.35">
      <c r="BD267" s="15">
        <v>45552</v>
      </c>
    </row>
    <row r="268" spans="56:56" x14ac:dyDescent="0.35">
      <c r="BD268" s="15">
        <v>45553</v>
      </c>
    </row>
    <row r="269" spans="56:56" x14ac:dyDescent="0.35">
      <c r="BD269" s="15">
        <v>45554</v>
      </c>
    </row>
    <row r="270" spans="56:56" x14ac:dyDescent="0.35">
      <c r="BD270" s="15">
        <v>45555</v>
      </c>
    </row>
    <row r="271" spans="56:56" x14ac:dyDescent="0.35">
      <c r="BD271" s="15">
        <v>45556</v>
      </c>
    </row>
    <row r="272" spans="56:56" x14ac:dyDescent="0.35">
      <c r="BD272" s="15">
        <v>45557</v>
      </c>
    </row>
    <row r="273" spans="56:56" x14ac:dyDescent="0.35">
      <c r="BD273" s="15">
        <v>45558</v>
      </c>
    </row>
    <row r="274" spans="56:56" x14ac:dyDescent="0.35">
      <c r="BD274" s="15">
        <v>45559</v>
      </c>
    </row>
    <row r="275" spans="56:56" x14ac:dyDescent="0.35">
      <c r="BD275" s="15">
        <v>45560</v>
      </c>
    </row>
    <row r="276" spans="56:56" x14ac:dyDescent="0.35">
      <c r="BD276" s="15">
        <v>45561</v>
      </c>
    </row>
    <row r="277" spans="56:56" x14ac:dyDescent="0.35">
      <c r="BD277" s="15">
        <v>45562</v>
      </c>
    </row>
    <row r="278" spans="56:56" x14ac:dyDescent="0.35">
      <c r="BD278" s="15">
        <v>45563</v>
      </c>
    </row>
    <row r="279" spans="56:56" x14ac:dyDescent="0.35">
      <c r="BD279" s="15">
        <v>45564</v>
      </c>
    </row>
    <row r="280" spans="56:56" x14ac:dyDescent="0.35">
      <c r="BD280" s="15">
        <v>45565</v>
      </c>
    </row>
    <row r="281" spans="56:56" x14ac:dyDescent="0.35">
      <c r="BD281" s="15">
        <v>45566</v>
      </c>
    </row>
    <row r="282" spans="56:56" x14ac:dyDescent="0.35">
      <c r="BD282" s="15">
        <v>45567</v>
      </c>
    </row>
    <row r="283" spans="56:56" x14ac:dyDescent="0.35">
      <c r="BD283" s="15">
        <v>45568</v>
      </c>
    </row>
    <row r="284" spans="56:56" x14ac:dyDescent="0.35">
      <c r="BD284" s="15">
        <v>45569</v>
      </c>
    </row>
    <row r="285" spans="56:56" x14ac:dyDescent="0.35">
      <c r="BD285" s="15">
        <v>45570</v>
      </c>
    </row>
    <row r="286" spans="56:56" x14ac:dyDescent="0.35">
      <c r="BD286" s="15">
        <v>45571</v>
      </c>
    </row>
    <row r="287" spans="56:56" x14ac:dyDescent="0.35">
      <c r="BD287" s="15">
        <v>45572</v>
      </c>
    </row>
    <row r="288" spans="56:56" x14ac:dyDescent="0.35">
      <c r="BD288" s="15">
        <v>45573</v>
      </c>
    </row>
    <row r="289" spans="56:56" x14ac:dyDescent="0.35">
      <c r="BD289" s="15">
        <v>45574</v>
      </c>
    </row>
    <row r="290" spans="56:56" x14ac:dyDescent="0.35">
      <c r="BD290" s="15">
        <v>45575</v>
      </c>
    </row>
    <row r="291" spans="56:56" x14ac:dyDescent="0.35">
      <c r="BD291" s="15">
        <v>45576</v>
      </c>
    </row>
    <row r="292" spans="56:56" x14ac:dyDescent="0.35">
      <c r="BD292" s="15">
        <v>45577</v>
      </c>
    </row>
    <row r="293" spans="56:56" x14ac:dyDescent="0.35">
      <c r="BD293" s="15">
        <v>45578</v>
      </c>
    </row>
    <row r="294" spans="56:56" x14ac:dyDescent="0.35">
      <c r="BD294" s="15">
        <v>45579</v>
      </c>
    </row>
    <row r="295" spans="56:56" x14ac:dyDescent="0.35">
      <c r="BD295" s="15">
        <v>45580</v>
      </c>
    </row>
    <row r="296" spans="56:56" x14ac:dyDescent="0.35">
      <c r="BD296" s="15">
        <v>45581</v>
      </c>
    </row>
    <row r="297" spans="56:56" x14ac:dyDescent="0.35">
      <c r="BD297" s="15">
        <v>45582</v>
      </c>
    </row>
    <row r="298" spans="56:56" x14ac:dyDescent="0.35">
      <c r="BD298" s="15">
        <v>45583</v>
      </c>
    </row>
    <row r="299" spans="56:56" x14ac:dyDescent="0.35">
      <c r="BD299" s="15">
        <v>45584</v>
      </c>
    </row>
    <row r="300" spans="56:56" x14ac:dyDescent="0.35">
      <c r="BD300" s="15">
        <v>45585</v>
      </c>
    </row>
    <row r="301" spans="56:56" x14ac:dyDescent="0.35">
      <c r="BD301" s="15">
        <v>45586</v>
      </c>
    </row>
    <row r="302" spans="56:56" x14ac:dyDescent="0.35">
      <c r="BD302" s="15">
        <v>45587</v>
      </c>
    </row>
    <row r="303" spans="56:56" x14ac:dyDescent="0.35">
      <c r="BD303" s="15">
        <v>45588</v>
      </c>
    </row>
    <row r="304" spans="56:56" x14ac:dyDescent="0.35">
      <c r="BD304" s="15">
        <v>45589</v>
      </c>
    </row>
    <row r="305" spans="56:56" x14ac:dyDescent="0.35">
      <c r="BD305" s="15">
        <v>45590</v>
      </c>
    </row>
    <row r="306" spans="56:56" x14ac:dyDescent="0.35">
      <c r="BD306" s="15">
        <v>45591</v>
      </c>
    </row>
    <row r="307" spans="56:56" x14ac:dyDescent="0.35">
      <c r="BD307" s="15">
        <v>45592</v>
      </c>
    </row>
    <row r="308" spans="56:56" x14ac:dyDescent="0.35">
      <c r="BD308" s="15">
        <v>45593</v>
      </c>
    </row>
    <row r="309" spans="56:56" x14ac:dyDescent="0.35">
      <c r="BD309" s="15">
        <v>45594</v>
      </c>
    </row>
    <row r="310" spans="56:56" x14ac:dyDescent="0.35">
      <c r="BD310" s="15">
        <v>45595</v>
      </c>
    </row>
    <row r="311" spans="56:56" x14ac:dyDescent="0.35">
      <c r="BD311" s="15">
        <v>45596</v>
      </c>
    </row>
    <row r="312" spans="56:56" x14ac:dyDescent="0.35">
      <c r="BD312" s="15">
        <v>45597</v>
      </c>
    </row>
    <row r="313" spans="56:56" x14ac:dyDescent="0.35">
      <c r="BD313" s="15">
        <v>45598</v>
      </c>
    </row>
    <row r="314" spans="56:56" x14ac:dyDescent="0.35">
      <c r="BD314" s="15">
        <v>45599</v>
      </c>
    </row>
    <row r="315" spans="56:56" x14ac:dyDescent="0.35">
      <c r="BD315" s="15">
        <v>45600</v>
      </c>
    </row>
    <row r="316" spans="56:56" x14ac:dyDescent="0.35">
      <c r="BD316" s="15">
        <v>45601</v>
      </c>
    </row>
    <row r="317" spans="56:56" x14ac:dyDescent="0.35">
      <c r="BD317" s="15">
        <v>45602</v>
      </c>
    </row>
    <row r="318" spans="56:56" x14ac:dyDescent="0.35">
      <c r="BD318" s="15">
        <v>45603</v>
      </c>
    </row>
    <row r="319" spans="56:56" x14ac:dyDescent="0.35">
      <c r="BD319" s="15">
        <v>45604</v>
      </c>
    </row>
    <row r="320" spans="56:56" x14ac:dyDescent="0.35">
      <c r="BD320" s="15">
        <v>45605</v>
      </c>
    </row>
    <row r="321" spans="56:56" x14ac:dyDescent="0.35">
      <c r="BD321" s="15">
        <v>45606</v>
      </c>
    </row>
    <row r="322" spans="56:56" x14ac:dyDescent="0.35">
      <c r="BD322" s="15">
        <v>45607</v>
      </c>
    </row>
    <row r="323" spans="56:56" x14ac:dyDescent="0.35">
      <c r="BD323" s="15">
        <v>45608</v>
      </c>
    </row>
    <row r="324" spans="56:56" x14ac:dyDescent="0.35">
      <c r="BD324" s="15">
        <v>45609</v>
      </c>
    </row>
    <row r="325" spans="56:56" x14ac:dyDescent="0.35">
      <c r="BD325" s="15">
        <v>45610</v>
      </c>
    </row>
    <row r="326" spans="56:56" x14ac:dyDescent="0.35">
      <c r="BD326" s="15">
        <v>45611</v>
      </c>
    </row>
    <row r="327" spans="56:56" x14ac:dyDescent="0.35">
      <c r="BD327" s="15">
        <v>45612</v>
      </c>
    </row>
    <row r="328" spans="56:56" x14ac:dyDescent="0.35">
      <c r="BD328" s="15">
        <v>45613</v>
      </c>
    </row>
    <row r="329" spans="56:56" x14ac:dyDescent="0.35">
      <c r="BD329" s="15">
        <v>45614</v>
      </c>
    </row>
    <row r="330" spans="56:56" x14ac:dyDescent="0.35">
      <c r="BD330" s="15">
        <v>45615</v>
      </c>
    </row>
    <row r="331" spans="56:56" x14ac:dyDescent="0.35">
      <c r="BD331" s="15">
        <v>45616</v>
      </c>
    </row>
    <row r="332" spans="56:56" x14ac:dyDescent="0.35">
      <c r="BD332" s="15">
        <v>45617</v>
      </c>
    </row>
    <row r="333" spans="56:56" x14ac:dyDescent="0.35">
      <c r="BD333" s="15">
        <v>45618</v>
      </c>
    </row>
    <row r="334" spans="56:56" x14ac:dyDescent="0.35">
      <c r="BD334" s="15">
        <v>45619</v>
      </c>
    </row>
    <row r="335" spans="56:56" x14ac:dyDescent="0.35">
      <c r="BD335" s="15">
        <v>45620</v>
      </c>
    </row>
    <row r="336" spans="56:56" x14ac:dyDescent="0.35">
      <c r="BD336" s="15">
        <v>45621</v>
      </c>
    </row>
    <row r="337" spans="56:56" x14ac:dyDescent="0.35">
      <c r="BD337" s="15">
        <v>45622</v>
      </c>
    </row>
    <row r="338" spans="56:56" x14ac:dyDescent="0.35">
      <c r="BD338" s="15">
        <v>45623</v>
      </c>
    </row>
    <row r="339" spans="56:56" x14ac:dyDescent="0.35">
      <c r="BD339" s="15">
        <v>45624</v>
      </c>
    </row>
    <row r="340" spans="56:56" x14ac:dyDescent="0.35">
      <c r="BD340" s="15">
        <v>45625</v>
      </c>
    </row>
    <row r="341" spans="56:56" x14ac:dyDescent="0.35">
      <c r="BD341" s="15">
        <v>45626</v>
      </c>
    </row>
    <row r="342" spans="56:56" x14ac:dyDescent="0.35">
      <c r="BD342" s="15">
        <v>45627</v>
      </c>
    </row>
    <row r="343" spans="56:56" x14ac:dyDescent="0.35">
      <c r="BD343" s="15">
        <v>45628</v>
      </c>
    </row>
    <row r="344" spans="56:56" x14ac:dyDescent="0.35">
      <c r="BD344" s="15">
        <v>45629</v>
      </c>
    </row>
    <row r="345" spans="56:56" x14ac:dyDescent="0.35">
      <c r="BD345" s="15">
        <v>45630</v>
      </c>
    </row>
    <row r="346" spans="56:56" x14ac:dyDescent="0.35">
      <c r="BD346" s="15">
        <v>45631</v>
      </c>
    </row>
    <row r="347" spans="56:56" x14ac:dyDescent="0.35">
      <c r="BD347" s="15">
        <v>45632</v>
      </c>
    </row>
    <row r="348" spans="56:56" x14ac:dyDescent="0.35">
      <c r="BD348" s="15">
        <v>45633</v>
      </c>
    </row>
    <row r="349" spans="56:56" x14ac:dyDescent="0.35">
      <c r="BD349" s="15">
        <v>45634</v>
      </c>
    </row>
    <row r="350" spans="56:56" x14ac:dyDescent="0.35">
      <c r="BD350" s="15">
        <v>45635</v>
      </c>
    </row>
    <row r="351" spans="56:56" x14ac:dyDescent="0.35">
      <c r="BD351" s="15">
        <v>45636</v>
      </c>
    </row>
    <row r="352" spans="56:56" x14ac:dyDescent="0.35">
      <c r="BD352" s="15">
        <v>45637</v>
      </c>
    </row>
    <row r="353" spans="56:56" x14ac:dyDescent="0.35">
      <c r="BD353" s="15">
        <v>45638</v>
      </c>
    </row>
    <row r="354" spans="56:56" x14ac:dyDescent="0.35">
      <c r="BD354" s="15">
        <v>45639</v>
      </c>
    </row>
    <row r="355" spans="56:56" x14ac:dyDescent="0.35">
      <c r="BD355" s="15">
        <v>45640</v>
      </c>
    </row>
    <row r="356" spans="56:56" x14ac:dyDescent="0.35">
      <c r="BD356" s="15">
        <v>45641</v>
      </c>
    </row>
    <row r="357" spans="56:56" x14ac:dyDescent="0.35">
      <c r="BD357" s="15">
        <v>45642</v>
      </c>
    </row>
    <row r="358" spans="56:56" x14ac:dyDescent="0.35">
      <c r="BD358" s="15">
        <v>45643</v>
      </c>
    </row>
    <row r="359" spans="56:56" x14ac:dyDescent="0.35">
      <c r="BD359" s="15">
        <v>45644</v>
      </c>
    </row>
    <row r="360" spans="56:56" x14ac:dyDescent="0.35">
      <c r="BD360" s="15">
        <v>45645</v>
      </c>
    </row>
    <row r="361" spans="56:56" x14ac:dyDescent="0.35">
      <c r="BD361" s="15">
        <v>45646</v>
      </c>
    </row>
    <row r="362" spans="56:56" x14ac:dyDescent="0.35">
      <c r="BD362" s="15">
        <v>45647</v>
      </c>
    </row>
    <row r="363" spans="56:56" x14ac:dyDescent="0.35">
      <c r="BD363" s="15">
        <v>45648</v>
      </c>
    </row>
    <row r="364" spans="56:56" x14ac:dyDescent="0.35">
      <c r="BD364" s="15">
        <v>45649</v>
      </c>
    </row>
    <row r="365" spans="56:56" x14ac:dyDescent="0.35">
      <c r="BD365" s="15">
        <v>45650</v>
      </c>
    </row>
    <row r="366" spans="56:56" x14ac:dyDescent="0.35">
      <c r="BD366" s="15">
        <v>45651</v>
      </c>
    </row>
    <row r="367" spans="56:56" x14ac:dyDescent="0.35">
      <c r="BD367" s="15">
        <v>45652</v>
      </c>
    </row>
    <row r="368" spans="56:56" x14ac:dyDescent="0.35">
      <c r="BD368" s="15">
        <v>45653</v>
      </c>
    </row>
    <row r="369" spans="56:56" x14ac:dyDescent="0.35">
      <c r="BD369" s="15">
        <v>45654</v>
      </c>
    </row>
    <row r="370" spans="56:56" x14ac:dyDescent="0.35">
      <c r="BD370" s="15">
        <v>45655</v>
      </c>
    </row>
    <row r="371" spans="56:56" x14ac:dyDescent="0.35">
      <c r="BD371" s="15">
        <v>45656</v>
      </c>
    </row>
    <row r="372" spans="56:56" x14ac:dyDescent="0.35">
      <c r="BD372" s="15">
        <v>45657</v>
      </c>
    </row>
    <row r="373" spans="56:56" x14ac:dyDescent="0.35">
      <c r="BD373" s="15">
        <v>45658</v>
      </c>
    </row>
    <row r="374" spans="56:56" x14ac:dyDescent="0.35">
      <c r="BD374" s="15">
        <v>45659</v>
      </c>
    </row>
    <row r="375" spans="56:56" x14ac:dyDescent="0.35">
      <c r="BD375" s="15">
        <v>45660</v>
      </c>
    </row>
    <row r="376" spans="56:56" x14ac:dyDescent="0.35">
      <c r="BD376" s="15">
        <v>45661</v>
      </c>
    </row>
    <row r="377" spans="56:56" x14ac:dyDescent="0.35">
      <c r="BD377" s="15">
        <v>45662</v>
      </c>
    </row>
    <row r="378" spans="56:56" x14ac:dyDescent="0.35">
      <c r="BD378" s="15">
        <v>45663</v>
      </c>
    </row>
    <row r="379" spans="56:56" x14ac:dyDescent="0.35">
      <c r="BD379" s="15">
        <v>45664</v>
      </c>
    </row>
    <row r="380" spans="56:56" x14ac:dyDescent="0.35">
      <c r="BD380" s="15">
        <v>45665</v>
      </c>
    </row>
    <row r="381" spans="56:56" x14ac:dyDescent="0.35">
      <c r="BD381" s="15">
        <v>45666</v>
      </c>
    </row>
    <row r="382" spans="56:56" x14ac:dyDescent="0.35">
      <c r="BD382" s="15">
        <v>45667</v>
      </c>
    </row>
    <row r="383" spans="56:56" x14ac:dyDescent="0.35">
      <c r="BD383" s="15">
        <v>45668</v>
      </c>
    </row>
    <row r="384" spans="56:56" x14ac:dyDescent="0.35">
      <c r="BD384" s="15">
        <v>45669</v>
      </c>
    </row>
    <row r="385" spans="56:56" x14ac:dyDescent="0.35">
      <c r="BD385" s="15">
        <v>45670</v>
      </c>
    </row>
    <row r="386" spans="56:56" x14ac:dyDescent="0.35">
      <c r="BD386" s="15">
        <v>45671</v>
      </c>
    </row>
    <row r="387" spans="56:56" x14ac:dyDescent="0.35">
      <c r="BD387" s="15">
        <v>45672</v>
      </c>
    </row>
    <row r="388" spans="56:56" x14ac:dyDescent="0.35">
      <c r="BD388" s="15">
        <v>45673</v>
      </c>
    </row>
    <row r="389" spans="56:56" x14ac:dyDescent="0.35">
      <c r="BD389" s="15">
        <v>45674</v>
      </c>
    </row>
    <row r="390" spans="56:56" x14ac:dyDescent="0.35">
      <c r="BD390" s="15">
        <v>45675</v>
      </c>
    </row>
    <row r="391" spans="56:56" x14ac:dyDescent="0.35">
      <c r="BD391" s="15">
        <v>45676</v>
      </c>
    </row>
    <row r="392" spans="56:56" x14ac:dyDescent="0.35">
      <c r="BD392" s="15">
        <v>45677</v>
      </c>
    </row>
    <row r="393" spans="56:56" x14ac:dyDescent="0.35">
      <c r="BD393" s="15">
        <v>45678</v>
      </c>
    </row>
    <row r="394" spans="56:56" x14ac:dyDescent="0.35">
      <c r="BD394" s="15">
        <v>45679</v>
      </c>
    </row>
    <row r="395" spans="56:56" x14ac:dyDescent="0.35">
      <c r="BD395" s="15">
        <v>45680</v>
      </c>
    </row>
    <row r="396" spans="56:56" x14ac:dyDescent="0.35">
      <c r="BD396" s="15">
        <v>45681</v>
      </c>
    </row>
    <row r="397" spans="56:56" x14ac:dyDescent="0.35">
      <c r="BD397" s="15">
        <v>45682</v>
      </c>
    </row>
    <row r="398" spans="56:56" x14ac:dyDescent="0.35">
      <c r="BD398" s="15">
        <v>45683</v>
      </c>
    </row>
    <row r="399" spans="56:56" x14ac:dyDescent="0.35">
      <c r="BD399" s="15">
        <v>45684</v>
      </c>
    </row>
    <row r="400" spans="56:56" x14ac:dyDescent="0.35">
      <c r="BD400" s="15">
        <v>45685</v>
      </c>
    </row>
    <row r="401" spans="56:56" x14ac:dyDescent="0.35">
      <c r="BD401" s="15">
        <v>45686</v>
      </c>
    </row>
    <row r="402" spans="56:56" x14ac:dyDescent="0.35">
      <c r="BD402" s="15">
        <v>45687</v>
      </c>
    </row>
    <row r="403" spans="56:56" x14ac:dyDescent="0.35">
      <c r="BD403" s="15">
        <v>45688</v>
      </c>
    </row>
    <row r="404" spans="56:56" x14ac:dyDescent="0.35">
      <c r="BD404" s="15">
        <v>45689</v>
      </c>
    </row>
    <row r="405" spans="56:56" x14ac:dyDescent="0.35">
      <c r="BD405" s="15">
        <v>45690</v>
      </c>
    </row>
    <row r="406" spans="56:56" x14ac:dyDescent="0.35">
      <c r="BD406" s="15">
        <v>45691</v>
      </c>
    </row>
    <row r="407" spans="56:56" x14ac:dyDescent="0.35">
      <c r="BD407" s="15">
        <v>45692</v>
      </c>
    </row>
    <row r="408" spans="56:56" x14ac:dyDescent="0.35">
      <c r="BD408" s="15">
        <v>45693</v>
      </c>
    </row>
    <row r="409" spans="56:56" x14ac:dyDescent="0.35">
      <c r="BD409" s="15">
        <v>45694</v>
      </c>
    </row>
    <row r="410" spans="56:56" x14ac:dyDescent="0.35">
      <c r="BD410" s="15">
        <v>45695</v>
      </c>
    </row>
    <row r="411" spans="56:56" x14ac:dyDescent="0.35">
      <c r="BD411" s="15">
        <v>45696</v>
      </c>
    </row>
    <row r="412" spans="56:56" x14ac:dyDescent="0.35">
      <c r="BD412" s="15">
        <v>45697</v>
      </c>
    </row>
    <row r="413" spans="56:56" x14ac:dyDescent="0.35">
      <c r="BD413" s="15">
        <v>45698</v>
      </c>
    </row>
    <row r="414" spans="56:56" x14ac:dyDescent="0.35">
      <c r="BD414" s="15">
        <v>45699</v>
      </c>
    </row>
    <row r="415" spans="56:56" x14ac:dyDescent="0.35">
      <c r="BD415" s="15">
        <v>45700</v>
      </c>
    </row>
    <row r="416" spans="56:56" x14ac:dyDescent="0.35">
      <c r="BD416" s="15">
        <v>45701</v>
      </c>
    </row>
    <row r="417" spans="56:56" x14ac:dyDescent="0.35">
      <c r="BD417" s="15">
        <v>45702</v>
      </c>
    </row>
    <row r="418" spans="56:56" x14ac:dyDescent="0.35">
      <c r="BD418" s="15">
        <v>45703</v>
      </c>
    </row>
    <row r="419" spans="56:56" x14ac:dyDescent="0.35">
      <c r="BD419" s="15">
        <v>45704</v>
      </c>
    </row>
    <row r="420" spans="56:56" x14ac:dyDescent="0.35">
      <c r="BD420" s="15">
        <v>45705</v>
      </c>
    </row>
    <row r="421" spans="56:56" x14ac:dyDescent="0.35">
      <c r="BD421" s="15">
        <v>45706</v>
      </c>
    </row>
    <row r="422" spans="56:56" x14ac:dyDescent="0.35">
      <c r="BD422" s="15">
        <v>45707</v>
      </c>
    </row>
    <row r="423" spans="56:56" x14ac:dyDescent="0.35">
      <c r="BD423" s="15">
        <v>45708</v>
      </c>
    </row>
    <row r="424" spans="56:56" x14ac:dyDescent="0.35">
      <c r="BD424" s="15">
        <v>45709</v>
      </c>
    </row>
    <row r="425" spans="56:56" x14ac:dyDescent="0.35">
      <c r="BD425" s="15">
        <v>45710</v>
      </c>
    </row>
    <row r="426" spans="56:56" x14ac:dyDescent="0.35">
      <c r="BD426" s="15">
        <v>45711</v>
      </c>
    </row>
    <row r="427" spans="56:56" x14ac:dyDescent="0.35">
      <c r="BD427" s="15">
        <v>45712</v>
      </c>
    </row>
    <row r="428" spans="56:56" x14ac:dyDescent="0.35">
      <c r="BD428" s="15">
        <v>45713</v>
      </c>
    </row>
    <row r="429" spans="56:56" x14ac:dyDescent="0.35">
      <c r="BD429" s="15">
        <v>45714</v>
      </c>
    </row>
    <row r="430" spans="56:56" x14ac:dyDescent="0.35">
      <c r="BD430" s="15">
        <v>45715</v>
      </c>
    </row>
    <row r="431" spans="56:56" x14ac:dyDescent="0.35">
      <c r="BD431" s="15">
        <v>45716</v>
      </c>
    </row>
    <row r="432" spans="56:56" x14ac:dyDescent="0.35">
      <c r="BD432" s="15">
        <v>45717</v>
      </c>
    </row>
    <row r="433" spans="56:56" x14ac:dyDescent="0.35">
      <c r="BD433" s="15">
        <v>45718</v>
      </c>
    </row>
    <row r="434" spans="56:56" x14ac:dyDescent="0.35">
      <c r="BD434" s="15">
        <v>45719</v>
      </c>
    </row>
    <row r="435" spans="56:56" x14ac:dyDescent="0.35">
      <c r="BD435" s="15">
        <v>45720</v>
      </c>
    </row>
    <row r="436" spans="56:56" x14ac:dyDescent="0.35">
      <c r="BD436" s="15">
        <v>45721</v>
      </c>
    </row>
    <row r="437" spans="56:56" x14ac:dyDescent="0.35">
      <c r="BD437" s="15">
        <v>45722</v>
      </c>
    </row>
    <row r="438" spans="56:56" x14ac:dyDescent="0.35">
      <c r="BD438" s="15">
        <v>45723</v>
      </c>
    </row>
    <row r="439" spans="56:56" x14ac:dyDescent="0.35">
      <c r="BD439" s="15">
        <v>45724</v>
      </c>
    </row>
    <row r="440" spans="56:56" x14ac:dyDescent="0.35">
      <c r="BD440" s="15">
        <v>45725</v>
      </c>
    </row>
    <row r="441" spans="56:56" x14ac:dyDescent="0.35">
      <c r="BD441" s="15">
        <v>45726</v>
      </c>
    </row>
    <row r="442" spans="56:56" x14ac:dyDescent="0.35">
      <c r="BD442" s="15">
        <v>45727</v>
      </c>
    </row>
    <row r="443" spans="56:56" x14ac:dyDescent="0.35">
      <c r="BD443" s="15">
        <v>45728</v>
      </c>
    </row>
    <row r="444" spans="56:56" x14ac:dyDescent="0.35">
      <c r="BD444" s="15">
        <v>45729</v>
      </c>
    </row>
    <row r="445" spans="56:56" x14ac:dyDescent="0.35">
      <c r="BD445" s="15">
        <v>45730</v>
      </c>
    </row>
    <row r="446" spans="56:56" x14ac:dyDescent="0.35">
      <c r="BD446" s="15">
        <v>45731</v>
      </c>
    </row>
    <row r="447" spans="56:56" x14ac:dyDescent="0.35">
      <c r="BD447" s="15">
        <v>45732</v>
      </c>
    </row>
    <row r="448" spans="56:56" x14ac:dyDescent="0.35">
      <c r="BD448" s="15">
        <v>45733</v>
      </c>
    </row>
    <row r="449" spans="56:56" x14ac:dyDescent="0.35">
      <c r="BD449" s="15">
        <v>45734</v>
      </c>
    </row>
    <row r="450" spans="56:56" x14ac:dyDescent="0.35">
      <c r="BD450" s="15">
        <v>45735</v>
      </c>
    </row>
    <row r="451" spans="56:56" x14ac:dyDescent="0.35">
      <c r="BD451" s="15">
        <v>45736</v>
      </c>
    </row>
    <row r="452" spans="56:56" x14ac:dyDescent="0.35">
      <c r="BD452" s="15">
        <v>45737</v>
      </c>
    </row>
    <row r="453" spans="56:56" x14ac:dyDescent="0.35">
      <c r="BD453" s="15">
        <v>45738</v>
      </c>
    </row>
    <row r="454" spans="56:56" x14ac:dyDescent="0.35">
      <c r="BD454" s="15">
        <v>45739</v>
      </c>
    </row>
    <row r="455" spans="56:56" x14ac:dyDescent="0.35">
      <c r="BD455" s="15">
        <v>45740</v>
      </c>
    </row>
    <row r="456" spans="56:56" x14ac:dyDescent="0.35">
      <c r="BD456" s="15">
        <v>45741</v>
      </c>
    </row>
    <row r="457" spans="56:56" x14ac:dyDescent="0.35">
      <c r="BD457" s="15">
        <v>45742</v>
      </c>
    </row>
    <row r="458" spans="56:56" x14ac:dyDescent="0.35">
      <c r="BD458" s="15">
        <v>45743</v>
      </c>
    </row>
    <row r="459" spans="56:56" x14ac:dyDescent="0.35">
      <c r="BD459" s="15">
        <v>45744</v>
      </c>
    </row>
    <row r="460" spans="56:56" x14ac:dyDescent="0.35">
      <c r="BD460" s="15">
        <v>45745</v>
      </c>
    </row>
    <row r="461" spans="56:56" x14ac:dyDescent="0.35">
      <c r="BD461" s="15">
        <v>45746</v>
      </c>
    </row>
    <row r="462" spans="56:56" x14ac:dyDescent="0.35">
      <c r="BD462" s="15">
        <v>45747</v>
      </c>
    </row>
    <row r="463" spans="56:56" x14ac:dyDescent="0.35">
      <c r="BD463" s="15">
        <v>45748</v>
      </c>
    </row>
    <row r="464" spans="56:56" x14ac:dyDescent="0.35">
      <c r="BD464" s="15">
        <v>45749</v>
      </c>
    </row>
    <row r="465" spans="56:56" x14ac:dyDescent="0.35">
      <c r="BD465" s="15">
        <v>45750</v>
      </c>
    </row>
    <row r="466" spans="56:56" x14ac:dyDescent="0.35">
      <c r="BD466" s="15">
        <v>45751</v>
      </c>
    </row>
    <row r="467" spans="56:56" x14ac:dyDescent="0.35">
      <c r="BD467" s="15">
        <v>45752</v>
      </c>
    </row>
    <row r="468" spans="56:56" x14ac:dyDescent="0.35">
      <c r="BD468" s="15">
        <v>45753</v>
      </c>
    </row>
    <row r="469" spans="56:56" x14ac:dyDescent="0.35">
      <c r="BD469" s="15">
        <v>45754</v>
      </c>
    </row>
    <row r="470" spans="56:56" x14ac:dyDescent="0.35">
      <c r="BD470" s="15">
        <v>45755</v>
      </c>
    </row>
    <row r="471" spans="56:56" x14ac:dyDescent="0.35">
      <c r="BD471" s="15">
        <v>45756</v>
      </c>
    </row>
    <row r="472" spans="56:56" x14ac:dyDescent="0.35">
      <c r="BD472" s="15">
        <v>45757</v>
      </c>
    </row>
    <row r="473" spans="56:56" x14ac:dyDescent="0.35">
      <c r="BD473" s="15">
        <v>45758</v>
      </c>
    </row>
    <row r="474" spans="56:56" x14ac:dyDescent="0.35">
      <c r="BD474" s="15">
        <v>45759</v>
      </c>
    </row>
    <row r="475" spans="56:56" x14ac:dyDescent="0.35">
      <c r="BD475" s="15">
        <v>45760</v>
      </c>
    </row>
    <row r="476" spans="56:56" x14ac:dyDescent="0.35">
      <c r="BD476" s="15">
        <v>45761</v>
      </c>
    </row>
    <row r="477" spans="56:56" x14ac:dyDescent="0.35">
      <c r="BD477" s="15">
        <v>45762</v>
      </c>
    </row>
    <row r="478" spans="56:56" x14ac:dyDescent="0.35">
      <c r="BD478" s="15">
        <v>45763</v>
      </c>
    </row>
    <row r="479" spans="56:56" x14ac:dyDescent="0.35">
      <c r="BD479" s="15">
        <v>45764</v>
      </c>
    </row>
    <row r="480" spans="56:56" x14ac:dyDescent="0.35">
      <c r="BD480" s="15">
        <v>45765</v>
      </c>
    </row>
    <row r="481" spans="56:56" x14ac:dyDescent="0.35">
      <c r="BD481" s="15">
        <v>45766</v>
      </c>
    </row>
    <row r="482" spans="56:56" x14ac:dyDescent="0.35">
      <c r="BD482" s="15">
        <v>45767</v>
      </c>
    </row>
    <row r="483" spans="56:56" x14ac:dyDescent="0.35">
      <c r="BD483" s="15">
        <v>45768</v>
      </c>
    </row>
    <row r="484" spans="56:56" x14ac:dyDescent="0.35">
      <c r="BD484" s="15">
        <v>45769</v>
      </c>
    </row>
    <row r="485" spans="56:56" x14ac:dyDescent="0.35">
      <c r="BD485" s="15">
        <v>45770</v>
      </c>
    </row>
    <row r="486" spans="56:56" x14ac:dyDescent="0.35">
      <c r="BD486" s="15">
        <v>45771</v>
      </c>
    </row>
    <row r="487" spans="56:56" x14ac:dyDescent="0.35">
      <c r="BD487" s="15">
        <v>45772</v>
      </c>
    </row>
    <row r="488" spans="56:56" x14ac:dyDescent="0.35">
      <c r="BD488" s="15">
        <v>45773</v>
      </c>
    </row>
    <row r="489" spans="56:56" x14ac:dyDescent="0.35">
      <c r="BD489" s="15">
        <v>45774</v>
      </c>
    </row>
    <row r="490" spans="56:56" x14ac:dyDescent="0.35">
      <c r="BD490" s="15">
        <v>45775</v>
      </c>
    </row>
    <row r="491" spans="56:56" x14ac:dyDescent="0.35">
      <c r="BD491" s="15">
        <v>45776</v>
      </c>
    </row>
    <row r="492" spans="56:56" x14ac:dyDescent="0.35">
      <c r="BD492" s="15">
        <v>45777</v>
      </c>
    </row>
    <row r="493" spans="56:56" x14ac:dyDescent="0.35">
      <c r="BD493" s="15">
        <v>45778</v>
      </c>
    </row>
    <row r="494" spans="56:56" x14ac:dyDescent="0.35">
      <c r="BD494" s="15">
        <v>45779</v>
      </c>
    </row>
    <row r="495" spans="56:56" x14ac:dyDescent="0.35">
      <c r="BD495" s="15">
        <v>45780</v>
      </c>
    </row>
    <row r="496" spans="56:56" x14ac:dyDescent="0.35">
      <c r="BD496" s="15">
        <v>45781</v>
      </c>
    </row>
    <row r="497" spans="56:56" x14ac:dyDescent="0.35">
      <c r="BD497" s="15">
        <v>45782</v>
      </c>
    </row>
    <row r="498" spans="56:56" x14ac:dyDescent="0.35">
      <c r="BD498" s="15">
        <v>45783</v>
      </c>
    </row>
    <row r="499" spans="56:56" x14ac:dyDescent="0.35">
      <c r="BD499" s="15">
        <v>45784</v>
      </c>
    </row>
    <row r="500" spans="56:56" x14ac:dyDescent="0.35">
      <c r="BD500" s="15">
        <v>45785</v>
      </c>
    </row>
    <row r="501" spans="56:56" x14ac:dyDescent="0.35">
      <c r="BD501" s="15">
        <v>45786</v>
      </c>
    </row>
    <row r="502" spans="56:56" x14ac:dyDescent="0.35">
      <c r="BD502" s="15">
        <v>45787</v>
      </c>
    </row>
    <row r="503" spans="56:56" x14ac:dyDescent="0.35">
      <c r="BD503" s="15">
        <v>45788</v>
      </c>
    </row>
    <row r="504" spans="56:56" x14ac:dyDescent="0.35">
      <c r="BD504" s="15">
        <v>45789</v>
      </c>
    </row>
    <row r="505" spans="56:56" x14ac:dyDescent="0.35">
      <c r="BD505" s="15">
        <v>45790</v>
      </c>
    </row>
    <row r="506" spans="56:56" x14ac:dyDescent="0.35">
      <c r="BD506" s="15">
        <v>45791</v>
      </c>
    </row>
    <row r="507" spans="56:56" x14ac:dyDescent="0.35">
      <c r="BD507" s="15">
        <v>45792</v>
      </c>
    </row>
    <row r="508" spans="56:56" x14ac:dyDescent="0.35">
      <c r="BD508" s="15">
        <v>45793</v>
      </c>
    </row>
    <row r="509" spans="56:56" x14ac:dyDescent="0.35">
      <c r="BD509" s="15">
        <v>45794</v>
      </c>
    </row>
    <row r="510" spans="56:56" x14ac:dyDescent="0.35">
      <c r="BD510" s="15">
        <v>45795</v>
      </c>
    </row>
    <row r="511" spans="56:56" x14ac:dyDescent="0.35">
      <c r="BD511" s="15">
        <v>45796</v>
      </c>
    </row>
    <row r="512" spans="56:56" x14ac:dyDescent="0.35">
      <c r="BD512" s="15">
        <v>45797</v>
      </c>
    </row>
    <row r="513" spans="56:56" x14ac:dyDescent="0.35">
      <c r="BD513" s="15">
        <v>45798</v>
      </c>
    </row>
    <row r="514" spans="56:56" x14ac:dyDescent="0.35">
      <c r="BD514" s="15">
        <v>45799</v>
      </c>
    </row>
    <row r="515" spans="56:56" x14ac:dyDescent="0.35">
      <c r="BD515" s="15">
        <v>45800</v>
      </c>
    </row>
    <row r="516" spans="56:56" x14ac:dyDescent="0.35">
      <c r="BD516" s="15">
        <v>45801</v>
      </c>
    </row>
    <row r="517" spans="56:56" x14ac:dyDescent="0.35">
      <c r="BD517" s="15">
        <v>45802</v>
      </c>
    </row>
    <row r="518" spans="56:56" x14ac:dyDescent="0.35">
      <c r="BD518" s="15">
        <v>45803</v>
      </c>
    </row>
    <row r="519" spans="56:56" x14ac:dyDescent="0.35">
      <c r="BD519" s="15">
        <v>45804</v>
      </c>
    </row>
    <row r="520" spans="56:56" x14ac:dyDescent="0.35">
      <c r="BD520" s="15">
        <v>45805</v>
      </c>
    </row>
    <row r="521" spans="56:56" x14ac:dyDescent="0.35">
      <c r="BD521" s="15">
        <v>45806</v>
      </c>
    </row>
    <row r="522" spans="56:56" x14ac:dyDescent="0.35">
      <c r="BD522" s="15">
        <v>45807</v>
      </c>
    </row>
    <row r="523" spans="56:56" x14ac:dyDescent="0.35">
      <c r="BD523" s="15">
        <v>45808</v>
      </c>
    </row>
    <row r="524" spans="56:56" x14ac:dyDescent="0.35">
      <c r="BD524" s="15">
        <v>45809</v>
      </c>
    </row>
    <row r="525" spans="56:56" x14ac:dyDescent="0.35">
      <c r="BD525" s="15">
        <v>45810</v>
      </c>
    </row>
    <row r="526" spans="56:56" x14ac:dyDescent="0.35">
      <c r="BD526" s="15">
        <v>45811</v>
      </c>
    </row>
    <row r="527" spans="56:56" x14ac:dyDescent="0.35">
      <c r="BD527" s="15">
        <v>45812</v>
      </c>
    </row>
    <row r="528" spans="56:56" x14ac:dyDescent="0.35">
      <c r="BD528" s="15">
        <v>45813</v>
      </c>
    </row>
    <row r="529" spans="56:56" x14ac:dyDescent="0.35">
      <c r="BD529" s="15">
        <v>45814</v>
      </c>
    </row>
    <row r="530" spans="56:56" x14ac:dyDescent="0.35">
      <c r="BD530" s="15">
        <v>45815</v>
      </c>
    </row>
    <row r="531" spans="56:56" x14ac:dyDescent="0.35">
      <c r="BD531" s="15">
        <v>45816</v>
      </c>
    </row>
    <row r="532" spans="56:56" x14ac:dyDescent="0.35">
      <c r="BD532" s="15">
        <v>45817</v>
      </c>
    </row>
    <row r="533" spans="56:56" x14ac:dyDescent="0.35">
      <c r="BD533" s="15">
        <v>45818</v>
      </c>
    </row>
    <row r="534" spans="56:56" x14ac:dyDescent="0.35">
      <c r="BD534" s="15">
        <v>45819</v>
      </c>
    </row>
    <row r="535" spans="56:56" x14ac:dyDescent="0.35">
      <c r="BD535" s="15">
        <v>45820</v>
      </c>
    </row>
    <row r="536" spans="56:56" x14ac:dyDescent="0.35">
      <c r="BD536" s="15">
        <v>45821</v>
      </c>
    </row>
    <row r="537" spans="56:56" x14ac:dyDescent="0.35">
      <c r="BD537" s="15">
        <v>45822</v>
      </c>
    </row>
    <row r="538" spans="56:56" x14ac:dyDescent="0.35">
      <c r="BD538" s="15">
        <v>45823</v>
      </c>
    </row>
    <row r="539" spans="56:56" x14ac:dyDescent="0.35">
      <c r="BD539" s="15">
        <v>45824</v>
      </c>
    </row>
    <row r="540" spans="56:56" x14ac:dyDescent="0.35">
      <c r="BD540" s="15">
        <v>45825</v>
      </c>
    </row>
    <row r="541" spans="56:56" x14ac:dyDescent="0.35">
      <c r="BD541" s="15">
        <v>45826</v>
      </c>
    </row>
    <row r="542" spans="56:56" x14ac:dyDescent="0.35">
      <c r="BD542" s="15">
        <v>45827</v>
      </c>
    </row>
    <row r="543" spans="56:56" x14ac:dyDescent="0.35">
      <c r="BD543" s="15">
        <v>45828</v>
      </c>
    </row>
    <row r="544" spans="56:56" x14ac:dyDescent="0.35">
      <c r="BD544" s="15">
        <v>45829</v>
      </c>
    </row>
    <row r="545" spans="56:56" x14ac:dyDescent="0.35">
      <c r="BD545" s="15">
        <v>45830</v>
      </c>
    </row>
    <row r="546" spans="56:56" x14ac:dyDescent="0.35">
      <c r="BD546" s="15">
        <v>45831</v>
      </c>
    </row>
    <row r="547" spans="56:56" x14ac:dyDescent="0.35">
      <c r="BD547" s="15">
        <v>45832</v>
      </c>
    </row>
    <row r="548" spans="56:56" x14ac:dyDescent="0.35">
      <c r="BD548" s="15">
        <v>45833</v>
      </c>
    </row>
    <row r="549" spans="56:56" x14ac:dyDescent="0.35">
      <c r="BD549" s="15">
        <v>45834</v>
      </c>
    </row>
    <row r="550" spans="56:56" x14ac:dyDescent="0.35">
      <c r="BD550" s="15">
        <v>45835</v>
      </c>
    </row>
    <row r="551" spans="56:56" x14ac:dyDescent="0.35">
      <c r="BD551" s="15">
        <v>45836</v>
      </c>
    </row>
    <row r="552" spans="56:56" x14ac:dyDescent="0.35">
      <c r="BD552" s="15">
        <v>45837</v>
      </c>
    </row>
    <row r="553" spans="56:56" x14ac:dyDescent="0.35">
      <c r="BD553" s="15">
        <v>45838</v>
      </c>
    </row>
    <row r="554" spans="56:56" x14ac:dyDescent="0.35">
      <c r="BD554" s="15">
        <v>45839</v>
      </c>
    </row>
    <row r="555" spans="56:56" x14ac:dyDescent="0.35">
      <c r="BD555" s="15">
        <v>45840</v>
      </c>
    </row>
    <row r="556" spans="56:56" x14ac:dyDescent="0.35">
      <c r="BD556" s="15">
        <v>45841</v>
      </c>
    </row>
    <row r="557" spans="56:56" x14ac:dyDescent="0.35">
      <c r="BD557" s="15">
        <v>45842</v>
      </c>
    </row>
    <row r="558" spans="56:56" x14ac:dyDescent="0.35">
      <c r="BD558" s="15">
        <v>45843</v>
      </c>
    </row>
    <row r="559" spans="56:56" x14ac:dyDescent="0.35">
      <c r="BD559" s="15">
        <v>45844</v>
      </c>
    </row>
    <row r="560" spans="56:56" x14ac:dyDescent="0.35">
      <c r="BD560" s="15">
        <v>45845</v>
      </c>
    </row>
    <row r="561" spans="56:56" x14ac:dyDescent="0.35">
      <c r="BD561" s="15">
        <v>45846</v>
      </c>
    </row>
    <row r="562" spans="56:56" x14ac:dyDescent="0.35">
      <c r="BD562" s="15">
        <v>45847</v>
      </c>
    </row>
    <row r="563" spans="56:56" x14ac:dyDescent="0.35">
      <c r="BD563" s="15">
        <v>45848</v>
      </c>
    </row>
    <row r="564" spans="56:56" x14ac:dyDescent="0.35">
      <c r="BD564" s="15">
        <v>45849</v>
      </c>
    </row>
    <row r="565" spans="56:56" x14ac:dyDescent="0.35">
      <c r="BD565" s="15">
        <v>45850</v>
      </c>
    </row>
    <row r="566" spans="56:56" x14ac:dyDescent="0.35">
      <c r="BD566" s="15">
        <v>45851</v>
      </c>
    </row>
    <row r="567" spans="56:56" x14ac:dyDescent="0.35">
      <c r="BD567" s="15">
        <v>45852</v>
      </c>
    </row>
    <row r="568" spans="56:56" x14ac:dyDescent="0.35">
      <c r="BD568" s="15">
        <v>45853</v>
      </c>
    </row>
    <row r="569" spans="56:56" x14ac:dyDescent="0.35">
      <c r="BD569" s="15">
        <v>45854</v>
      </c>
    </row>
    <row r="570" spans="56:56" x14ac:dyDescent="0.35">
      <c r="BD570" s="15">
        <v>45855</v>
      </c>
    </row>
    <row r="571" spans="56:56" x14ac:dyDescent="0.35">
      <c r="BD571" s="15">
        <v>45856</v>
      </c>
    </row>
    <row r="572" spans="56:56" x14ac:dyDescent="0.35">
      <c r="BD572" s="15">
        <v>45857</v>
      </c>
    </row>
    <row r="573" spans="56:56" x14ac:dyDescent="0.35">
      <c r="BD573" s="15">
        <v>45858</v>
      </c>
    </row>
    <row r="574" spans="56:56" x14ac:dyDescent="0.35">
      <c r="BD574" s="15">
        <v>45859</v>
      </c>
    </row>
    <row r="575" spans="56:56" x14ac:dyDescent="0.35">
      <c r="BD575" s="15">
        <v>45860</v>
      </c>
    </row>
    <row r="576" spans="56:56" x14ac:dyDescent="0.35">
      <c r="BD576" s="15">
        <v>45861</v>
      </c>
    </row>
    <row r="577" spans="56:56" x14ac:dyDescent="0.35">
      <c r="BD577" s="15">
        <v>45862</v>
      </c>
    </row>
    <row r="578" spans="56:56" x14ac:dyDescent="0.35">
      <c r="BD578" s="15">
        <v>45863</v>
      </c>
    </row>
    <row r="579" spans="56:56" x14ac:dyDescent="0.35">
      <c r="BD579" s="15">
        <v>45864</v>
      </c>
    </row>
    <row r="580" spans="56:56" x14ac:dyDescent="0.35">
      <c r="BD580" s="15">
        <v>45865</v>
      </c>
    </row>
    <row r="581" spans="56:56" x14ac:dyDescent="0.35">
      <c r="BD581" s="15">
        <v>45866</v>
      </c>
    </row>
    <row r="582" spans="56:56" x14ac:dyDescent="0.35">
      <c r="BD582" s="15">
        <v>45867</v>
      </c>
    </row>
    <row r="583" spans="56:56" x14ac:dyDescent="0.35">
      <c r="BD583" s="15">
        <v>45868</v>
      </c>
    </row>
    <row r="584" spans="56:56" x14ac:dyDescent="0.35">
      <c r="BD584" s="15">
        <v>45869</v>
      </c>
    </row>
    <row r="585" spans="56:56" x14ac:dyDescent="0.35">
      <c r="BD585" s="15">
        <v>45870</v>
      </c>
    </row>
    <row r="586" spans="56:56" x14ac:dyDescent="0.35">
      <c r="BD586" s="15">
        <v>45871</v>
      </c>
    </row>
    <row r="587" spans="56:56" x14ac:dyDescent="0.35">
      <c r="BD587" s="15">
        <v>45872</v>
      </c>
    </row>
    <row r="588" spans="56:56" x14ac:dyDescent="0.35">
      <c r="BD588" s="15">
        <v>45873</v>
      </c>
    </row>
    <row r="589" spans="56:56" x14ac:dyDescent="0.35">
      <c r="BD589" s="15">
        <v>45874</v>
      </c>
    </row>
    <row r="590" spans="56:56" x14ac:dyDescent="0.35">
      <c r="BD590" s="15">
        <v>45875</v>
      </c>
    </row>
    <row r="591" spans="56:56" x14ac:dyDescent="0.35">
      <c r="BD591" s="15">
        <v>45876</v>
      </c>
    </row>
    <row r="592" spans="56:56" x14ac:dyDescent="0.35">
      <c r="BD592" s="15">
        <v>45877</v>
      </c>
    </row>
    <row r="593" spans="56:56" x14ac:dyDescent="0.35">
      <c r="BD593" s="15">
        <v>45878</v>
      </c>
    </row>
    <row r="594" spans="56:56" x14ac:dyDescent="0.35">
      <c r="BD594" s="15">
        <v>45879</v>
      </c>
    </row>
    <row r="595" spans="56:56" x14ac:dyDescent="0.35">
      <c r="BD595" s="15">
        <v>45880</v>
      </c>
    </row>
    <row r="596" spans="56:56" x14ac:dyDescent="0.35">
      <c r="BD596" s="15">
        <v>45881</v>
      </c>
    </row>
    <row r="597" spans="56:56" x14ac:dyDescent="0.35">
      <c r="BD597" s="15">
        <v>45882</v>
      </c>
    </row>
    <row r="598" spans="56:56" x14ac:dyDescent="0.35">
      <c r="BD598" s="15">
        <v>45883</v>
      </c>
    </row>
    <row r="599" spans="56:56" x14ac:dyDescent="0.35">
      <c r="BD599" s="15">
        <v>45884</v>
      </c>
    </row>
    <row r="600" spans="56:56" x14ac:dyDescent="0.35">
      <c r="BD600" s="15">
        <v>45885</v>
      </c>
    </row>
    <row r="601" spans="56:56" x14ac:dyDescent="0.35">
      <c r="BD601" s="15">
        <v>45886</v>
      </c>
    </row>
    <row r="602" spans="56:56" x14ac:dyDescent="0.35">
      <c r="BD602" s="15">
        <v>45887</v>
      </c>
    </row>
    <row r="603" spans="56:56" x14ac:dyDescent="0.35">
      <c r="BD603" s="15">
        <v>45888</v>
      </c>
    </row>
    <row r="604" spans="56:56" x14ac:dyDescent="0.35">
      <c r="BD604" s="15">
        <v>45889</v>
      </c>
    </row>
    <row r="605" spans="56:56" x14ac:dyDescent="0.35">
      <c r="BD605" s="15">
        <v>45890</v>
      </c>
    </row>
    <row r="606" spans="56:56" x14ac:dyDescent="0.35">
      <c r="BD606" s="15">
        <v>45891</v>
      </c>
    </row>
    <row r="607" spans="56:56" x14ac:dyDescent="0.35">
      <c r="BD607" s="15">
        <v>45892</v>
      </c>
    </row>
    <row r="608" spans="56:56" x14ac:dyDescent="0.35">
      <c r="BD608" s="15">
        <v>45893</v>
      </c>
    </row>
    <row r="609" spans="56:56" x14ac:dyDescent="0.35">
      <c r="BD609" s="15">
        <v>45894</v>
      </c>
    </row>
    <row r="610" spans="56:56" x14ac:dyDescent="0.35">
      <c r="BD610" s="15">
        <v>45895</v>
      </c>
    </row>
    <row r="611" spans="56:56" x14ac:dyDescent="0.35">
      <c r="BD611" s="15">
        <v>45896</v>
      </c>
    </row>
    <row r="612" spans="56:56" x14ac:dyDescent="0.35">
      <c r="BD612" s="15">
        <v>45897</v>
      </c>
    </row>
    <row r="613" spans="56:56" x14ac:dyDescent="0.35">
      <c r="BD613" s="15">
        <v>45898</v>
      </c>
    </row>
    <row r="614" spans="56:56" x14ac:dyDescent="0.35">
      <c r="BD614" s="15">
        <v>45899</v>
      </c>
    </row>
    <row r="615" spans="56:56" x14ac:dyDescent="0.35">
      <c r="BD615" s="15">
        <v>45900</v>
      </c>
    </row>
    <row r="616" spans="56:56" x14ac:dyDescent="0.35">
      <c r="BD616" s="15">
        <v>45901</v>
      </c>
    </row>
    <row r="617" spans="56:56" x14ac:dyDescent="0.35">
      <c r="BD617" s="15">
        <v>45902</v>
      </c>
    </row>
    <row r="618" spans="56:56" x14ac:dyDescent="0.35">
      <c r="BD618" s="15">
        <v>45903</v>
      </c>
    </row>
    <row r="619" spans="56:56" x14ac:dyDescent="0.35">
      <c r="BD619" s="15">
        <v>45904</v>
      </c>
    </row>
    <row r="620" spans="56:56" x14ac:dyDescent="0.35">
      <c r="BD620" s="15">
        <v>45905</v>
      </c>
    </row>
    <row r="621" spans="56:56" x14ac:dyDescent="0.35">
      <c r="BD621" s="15">
        <v>45906</v>
      </c>
    </row>
    <row r="622" spans="56:56" x14ac:dyDescent="0.35">
      <c r="BD622" s="15">
        <v>45907</v>
      </c>
    </row>
    <row r="623" spans="56:56" x14ac:dyDescent="0.35">
      <c r="BD623" s="15">
        <v>45908</v>
      </c>
    </row>
    <row r="624" spans="56:56" x14ac:dyDescent="0.35">
      <c r="BD624" s="15">
        <v>45909</v>
      </c>
    </row>
    <row r="625" spans="56:56" x14ac:dyDescent="0.35">
      <c r="BD625" s="15">
        <v>45910</v>
      </c>
    </row>
    <row r="626" spans="56:56" x14ac:dyDescent="0.35">
      <c r="BD626" s="15">
        <v>45911</v>
      </c>
    </row>
    <row r="627" spans="56:56" x14ac:dyDescent="0.35">
      <c r="BD627" s="15">
        <v>45912</v>
      </c>
    </row>
    <row r="628" spans="56:56" x14ac:dyDescent="0.35">
      <c r="BD628" s="15">
        <v>45913</v>
      </c>
    </row>
    <row r="629" spans="56:56" x14ac:dyDescent="0.35">
      <c r="BD629" s="15">
        <v>45914</v>
      </c>
    </row>
    <row r="630" spans="56:56" x14ac:dyDescent="0.35">
      <c r="BD630" s="15">
        <v>45915</v>
      </c>
    </row>
    <row r="631" spans="56:56" x14ac:dyDescent="0.35">
      <c r="BD631" s="15">
        <v>45916</v>
      </c>
    </row>
    <row r="632" spans="56:56" x14ac:dyDescent="0.35">
      <c r="BD632" s="15">
        <v>45917</v>
      </c>
    </row>
    <row r="633" spans="56:56" x14ac:dyDescent="0.35">
      <c r="BD633" s="15">
        <v>45918</v>
      </c>
    </row>
    <row r="634" spans="56:56" x14ac:dyDescent="0.35">
      <c r="BD634" s="15">
        <v>45919</v>
      </c>
    </row>
    <row r="635" spans="56:56" x14ac:dyDescent="0.35">
      <c r="BD635" s="15">
        <v>45920</v>
      </c>
    </row>
    <row r="636" spans="56:56" x14ac:dyDescent="0.35">
      <c r="BD636" s="15">
        <v>45921</v>
      </c>
    </row>
    <row r="637" spans="56:56" x14ac:dyDescent="0.35">
      <c r="BD637" s="15">
        <v>45922</v>
      </c>
    </row>
    <row r="638" spans="56:56" x14ac:dyDescent="0.35">
      <c r="BD638" s="15">
        <v>45923</v>
      </c>
    </row>
    <row r="639" spans="56:56" x14ac:dyDescent="0.35">
      <c r="BD639" s="15">
        <v>45924</v>
      </c>
    </row>
    <row r="640" spans="56:56" x14ac:dyDescent="0.35">
      <c r="BD640" s="15">
        <v>45925</v>
      </c>
    </row>
    <row r="641" spans="56:56" x14ac:dyDescent="0.35">
      <c r="BD641" s="15">
        <v>45926</v>
      </c>
    </row>
    <row r="642" spans="56:56" x14ac:dyDescent="0.35">
      <c r="BD642" s="15">
        <v>45927</v>
      </c>
    </row>
    <row r="643" spans="56:56" x14ac:dyDescent="0.35">
      <c r="BD643" s="15">
        <v>45928</v>
      </c>
    </row>
    <row r="644" spans="56:56" x14ac:dyDescent="0.35">
      <c r="BD644" s="15">
        <v>45929</v>
      </c>
    </row>
    <row r="645" spans="56:56" x14ac:dyDescent="0.35">
      <c r="BD645" s="15">
        <v>45930</v>
      </c>
    </row>
    <row r="646" spans="56:56" x14ac:dyDescent="0.35">
      <c r="BD646" s="15">
        <v>45931</v>
      </c>
    </row>
    <row r="647" spans="56:56" x14ac:dyDescent="0.35">
      <c r="BD647" s="15">
        <v>45932</v>
      </c>
    </row>
    <row r="648" spans="56:56" x14ac:dyDescent="0.35">
      <c r="BD648" s="15">
        <v>45933</v>
      </c>
    </row>
    <row r="649" spans="56:56" x14ac:dyDescent="0.35">
      <c r="BD649" s="15">
        <v>45934</v>
      </c>
    </row>
    <row r="650" spans="56:56" x14ac:dyDescent="0.35">
      <c r="BD650" s="15">
        <v>45935</v>
      </c>
    </row>
    <row r="651" spans="56:56" x14ac:dyDescent="0.35">
      <c r="BD651" s="15">
        <v>45936</v>
      </c>
    </row>
    <row r="652" spans="56:56" x14ac:dyDescent="0.35">
      <c r="BD652" s="15">
        <v>45937</v>
      </c>
    </row>
    <row r="653" spans="56:56" x14ac:dyDescent="0.35">
      <c r="BD653" s="15">
        <v>45938</v>
      </c>
    </row>
    <row r="654" spans="56:56" x14ac:dyDescent="0.35">
      <c r="BD654" s="15">
        <v>45939</v>
      </c>
    </row>
    <row r="655" spans="56:56" x14ac:dyDescent="0.35">
      <c r="BD655" s="15">
        <v>45940</v>
      </c>
    </row>
    <row r="656" spans="56:56" x14ac:dyDescent="0.35">
      <c r="BD656" s="15">
        <v>45941</v>
      </c>
    </row>
    <row r="657" spans="56:56" x14ac:dyDescent="0.35">
      <c r="BD657" s="15">
        <v>45942</v>
      </c>
    </row>
    <row r="658" spans="56:56" x14ac:dyDescent="0.35">
      <c r="BD658" s="15">
        <v>45943</v>
      </c>
    </row>
    <row r="659" spans="56:56" x14ac:dyDescent="0.35">
      <c r="BD659" s="15">
        <v>45944</v>
      </c>
    </row>
    <row r="660" spans="56:56" x14ac:dyDescent="0.35">
      <c r="BD660" s="15">
        <v>45945</v>
      </c>
    </row>
    <row r="661" spans="56:56" x14ac:dyDescent="0.35">
      <c r="BD661" s="15">
        <v>45946</v>
      </c>
    </row>
    <row r="662" spans="56:56" x14ac:dyDescent="0.35">
      <c r="BD662" s="15">
        <v>45947</v>
      </c>
    </row>
    <row r="663" spans="56:56" x14ac:dyDescent="0.35">
      <c r="BD663" s="15">
        <v>45948</v>
      </c>
    </row>
    <row r="664" spans="56:56" x14ac:dyDescent="0.35">
      <c r="BD664" s="15">
        <v>45949</v>
      </c>
    </row>
    <row r="665" spans="56:56" x14ac:dyDescent="0.35">
      <c r="BD665" s="15">
        <v>45950</v>
      </c>
    </row>
    <row r="666" spans="56:56" x14ac:dyDescent="0.35">
      <c r="BD666" s="15">
        <v>45951</v>
      </c>
    </row>
    <row r="667" spans="56:56" x14ac:dyDescent="0.35">
      <c r="BD667" s="15">
        <v>45952</v>
      </c>
    </row>
    <row r="668" spans="56:56" x14ac:dyDescent="0.35">
      <c r="BD668" s="15">
        <v>45953</v>
      </c>
    </row>
    <row r="669" spans="56:56" x14ac:dyDescent="0.35">
      <c r="BD669" s="15">
        <v>45954</v>
      </c>
    </row>
    <row r="670" spans="56:56" x14ac:dyDescent="0.35">
      <c r="BD670" s="15">
        <v>45955</v>
      </c>
    </row>
    <row r="671" spans="56:56" x14ac:dyDescent="0.35">
      <c r="BD671" s="15">
        <v>45956</v>
      </c>
    </row>
    <row r="672" spans="56:56" x14ac:dyDescent="0.35">
      <c r="BD672" s="15">
        <v>45957</v>
      </c>
    </row>
    <row r="673" spans="56:56" x14ac:dyDescent="0.35">
      <c r="BD673" s="15">
        <v>45958</v>
      </c>
    </row>
    <row r="674" spans="56:56" x14ac:dyDescent="0.35">
      <c r="BD674" s="15">
        <v>45959</v>
      </c>
    </row>
    <row r="675" spans="56:56" x14ac:dyDescent="0.35">
      <c r="BD675" s="15">
        <v>45960</v>
      </c>
    </row>
    <row r="676" spans="56:56" x14ac:dyDescent="0.35">
      <c r="BD676" s="15">
        <v>45961</v>
      </c>
    </row>
    <row r="677" spans="56:56" x14ac:dyDescent="0.35">
      <c r="BD677" s="15">
        <v>45962</v>
      </c>
    </row>
    <row r="678" spans="56:56" x14ac:dyDescent="0.35">
      <c r="BD678" s="15">
        <v>45963</v>
      </c>
    </row>
    <row r="679" spans="56:56" x14ac:dyDescent="0.35">
      <c r="BD679" s="15">
        <v>45964</v>
      </c>
    </row>
    <row r="680" spans="56:56" x14ac:dyDescent="0.35">
      <c r="BD680" s="15">
        <v>45965</v>
      </c>
    </row>
    <row r="681" spans="56:56" x14ac:dyDescent="0.35">
      <c r="BD681" s="15">
        <v>45966</v>
      </c>
    </row>
    <row r="682" spans="56:56" x14ac:dyDescent="0.35">
      <c r="BD682" s="15">
        <v>45967</v>
      </c>
    </row>
    <row r="683" spans="56:56" x14ac:dyDescent="0.35">
      <c r="BD683" s="15">
        <v>45968</v>
      </c>
    </row>
    <row r="684" spans="56:56" x14ac:dyDescent="0.35">
      <c r="BD684" s="15">
        <v>45969</v>
      </c>
    </row>
    <row r="685" spans="56:56" x14ac:dyDescent="0.35">
      <c r="BD685" s="15">
        <v>45970</v>
      </c>
    </row>
    <row r="686" spans="56:56" x14ac:dyDescent="0.35">
      <c r="BD686" s="15">
        <v>45971</v>
      </c>
    </row>
    <row r="687" spans="56:56" x14ac:dyDescent="0.35">
      <c r="BD687" s="15">
        <v>45972</v>
      </c>
    </row>
    <row r="688" spans="56:56" x14ac:dyDescent="0.35">
      <c r="BD688" s="15">
        <v>45973</v>
      </c>
    </row>
    <row r="689" spans="56:56" x14ac:dyDescent="0.35">
      <c r="BD689" s="15">
        <v>45974</v>
      </c>
    </row>
    <row r="690" spans="56:56" x14ac:dyDescent="0.35">
      <c r="BD690" s="15">
        <v>45975</v>
      </c>
    </row>
    <row r="691" spans="56:56" x14ac:dyDescent="0.35">
      <c r="BD691" s="15">
        <v>45976</v>
      </c>
    </row>
    <row r="692" spans="56:56" x14ac:dyDescent="0.35">
      <c r="BD692" s="15">
        <v>45977</v>
      </c>
    </row>
    <row r="693" spans="56:56" x14ac:dyDescent="0.35">
      <c r="BD693" s="15">
        <v>45978</v>
      </c>
    </row>
    <row r="694" spans="56:56" x14ac:dyDescent="0.35">
      <c r="BD694" s="15">
        <v>45979</v>
      </c>
    </row>
    <row r="695" spans="56:56" x14ac:dyDescent="0.35">
      <c r="BD695" s="15">
        <v>45980</v>
      </c>
    </row>
    <row r="696" spans="56:56" x14ac:dyDescent="0.35">
      <c r="BD696" s="15">
        <v>45981</v>
      </c>
    </row>
    <row r="697" spans="56:56" x14ac:dyDescent="0.35">
      <c r="BD697" s="15">
        <v>45982</v>
      </c>
    </row>
    <row r="698" spans="56:56" x14ac:dyDescent="0.35">
      <c r="BD698" s="15">
        <v>45983</v>
      </c>
    </row>
    <row r="699" spans="56:56" x14ac:dyDescent="0.35">
      <c r="BD699" s="15">
        <v>45984</v>
      </c>
    </row>
    <row r="700" spans="56:56" x14ac:dyDescent="0.35">
      <c r="BD700" s="15">
        <v>45985</v>
      </c>
    </row>
    <row r="701" spans="56:56" x14ac:dyDescent="0.35">
      <c r="BD701" s="15">
        <v>45986</v>
      </c>
    </row>
    <row r="702" spans="56:56" x14ac:dyDescent="0.35">
      <c r="BD702" s="15">
        <v>45987</v>
      </c>
    </row>
    <row r="703" spans="56:56" x14ac:dyDescent="0.35">
      <c r="BD703" s="15">
        <v>45988</v>
      </c>
    </row>
    <row r="704" spans="56:56" x14ac:dyDescent="0.35">
      <c r="BD704" s="15">
        <v>45989</v>
      </c>
    </row>
    <row r="705" spans="56:56" x14ac:dyDescent="0.35">
      <c r="BD705" s="15">
        <v>45990</v>
      </c>
    </row>
    <row r="706" spans="56:56" x14ac:dyDescent="0.35">
      <c r="BD706" s="15">
        <v>45991</v>
      </c>
    </row>
    <row r="707" spans="56:56" x14ac:dyDescent="0.35">
      <c r="BD707" s="15">
        <v>45992</v>
      </c>
    </row>
    <row r="708" spans="56:56" x14ac:dyDescent="0.35">
      <c r="BD708" s="15">
        <v>45993</v>
      </c>
    </row>
    <row r="709" spans="56:56" x14ac:dyDescent="0.35">
      <c r="BD709" s="15">
        <v>45994</v>
      </c>
    </row>
    <row r="710" spans="56:56" x14ac:dyDescent="0.35">
      <c r="BD710" s="15">
        <v>45995</v>
      </c>
    </row>
    <row r="711" spans="56:56" x14ac:dyDescent="0.35">
      <c r="BD711" s="15">
        <v>45996</v>
      </c>
    </row>
    <row r="712" spans="56:56" x14ac:dyDescent="0.35">
      <c r="BD712" s="15">
        <v>45997</v>
      </c>
    </row>
    <row r="713" spans="56:56" x14ac:dyDescent="0.35">
      <c r="BD713" s="15">
        <v>45998</v>
      </c>
    </row>
    <row r="714" spans="56:56" x14ac:dyDescent="0.35">
      <c r="BD714" s="15">
        <v>45999</v>
      </c>
    </row>
    <row r="715" spans="56:56" x14ac:dyDescent="0.35">
      <c r="BD715" s="15">
        <v>46000</v>
      </c>
    </row>
    <row r="716" spans="56:56" x14ac:dyDescent="0.35">
      <c r="BD716" s="15">
        <v>46001</v>
      </c>
    </row>
    <row r="717" spans="56:56" x14ac:dyDescent="0.35">
      <c r="BD717" s="15">
        <v>46002</v>
      </c>
    </row>
    <row r="718" spans="56:56" x14ac:dyDescent="0.35">
      <c r="BD718" s="15">
        <v>46003</v>
      </c>
    </row>
    <row r="719" spans="56:56" x14ac:dyDescent="0.35">
      <c r="BD719" s="15">
        <v>46004</v>
      </c>
    </row>
    <row r="720" spans="56:56" x14ac:dyDescent="0.35">
      <c r="BD720" s="15">
        <v>46005</v>
      </c>
    </row>
    <row r="721" spans="56:56" x14ac:dyDescent="0.35">
      <c r="BD721" s="15">
        <v>46006</v>
      </c>
    </row>
    <row r="722" spans="56:56" x14ac:dyDescent="0.35">
      <c r="BD722" s="15">
        <v>46007</v>
      </c>
    </row>
    <row r="723" spans="56:56" x14ac:dyDescent="0.35">
      <c r="BD723" s="15">
        <v>46008</v>
      </c>
    </row>
    <row r="724" spans="56:56" x14ac:dyDescent="0.35">
      <c r="BD724" s="15">
        <v>46009</v>
      </c>
    </row>
    <row r="725" spans="56:56" x14ac:dyDescent="0.35">
      <c r="BD725" s="15">
        <v>46010</v>
      </c>
    </row>
    <row r="726" spans="56:56" x14ac:dyDescent="0.35">
      <c r="BD726" s="15">
        <v>46011</v>
      </c>
    </row>
    <row r="727" spans="56:56" x14ac:dyDescent="0.35">
      <c r="BD727" s="15">
        <v>46012</v>
      </c>
    </row>
    <row r="728" spans="56:56" x14ac:dyDescent="0.35">
      <c r="BD728" s="15">
        <v>46013</v>
      </c>
    </row>
    <row r="729" spans="56:56" x14ac:dyDescent="0.35">
      <c r="BD729" s="15">
        <v>46014</v>
      </c>
    </row>
    <row r="730" spans="56:56" x14ac:dyDescent="0.35">
      <c r="BD730" s="15">
        <v>46015</v>
      </c>
    </row>
    <row r="731" spans="56:56" x14ac:dyDescent="0.35">
      <c r="BD731" s="15">
        <v>46016</v>
      </c>
    </row>
    <row r="732" spans="56:56" x14ac:dyDescent="0.35">
      <c r="BD732" s="15">
        <v>46017</v>
      </c>
    </row>
    <row r="733" spans="56:56" x14ac:dyDescent="0.35">
      <c r="BD733" s="15">
        <v>46018</v>
      </c>
    </row>
    <row r="734" spans="56:56" x14ac:dyDescent="0.35">
      <c r="BD734" s="15">
        <v>46019</v>
      </c>
    </row>
    <row r="735" spans="56:56" x14ac:dyDescent="0.35">
      <c r="BD735" s="15">
        <v>46020</v>
      </c>
    </row>
    <row r="736" spans="56:56" x14ac:dyDescent="0.35">
      <c r="BD736" s="15">
        <v>46021</v>
      </c>
    </row>
    <row r="737" spans="56:56" x14ac:dyDescent="0.35">
      <c r="BD737" s="15">
        <v>46022</v>
      </c>
    </row>
    <row r="738" spans="56:56" x14ac:dyDescent="0.35">
      <c r="BD738" s="15">
        <v>46023</v>
      </c>
    </row>
    <row r="739" spans="56:56" x14ac:dyDescent="0.35">
      <c r="BD739" s="15">
        <v>46024</v>
      </c>
    </row>
    <row r="740" spans="56:56" x14ac:dyDescent="0.35">
      <c r="BD740" s="15">
        <v>46025</v>
      </c>
    </row>
    <row r="741" spans="56:56" x14ac:dyDescent="0.35">
      <c r="BD741" s="15">
        <v>46026</v>
      </c>
    </row>
    <row r="742" spans="56:56" x14ac:dyDescent="0.35">
      <c r="BD742" s="15">
        <v>46027</v>
      </c>
    </row>
    <row r="743" spans="56:56" x14ac:dyDescent="0.35">
      <c r="BD743" s="15">
        <v>46028</v>
      </c>
    </row>
    <row r="744" spans="56:56" x14ac:dyDescent="0.35">
      <c r="BD744" s="15">
        <v>46029</v>
      </c>
    </row>
    <row r="745" spans="56:56" x14ac:dyDescent="0.35">
      <c r="BD745" s="15">
        <v>46030</v>
      </c>
    </row>
    <row r="746" spans="56:56" x14ac:dyDescent="0.35">
      <c r="BD746" s="15">
        <v>46031</v>
      </c>
    </row>
    <row r="747" spans="56:56" x14ac:dyDescent="0.35">
      <c r="BD747" s="15">
        <v>46032</v>
      </c>
    </row>
    <row r="748" spans="56:56" x14ac:dyDescent="0.35">
      <c r="BD748" s="15">
        <v>46033</v>
      </c>
    </row>
    <row r="749" spans="56:56" x14ac:dyDescent="0.35">
      <c r="BD749" s="15">
        <v>46034</v>
      </c>
    </row>
    <row r="750" spans="56:56" x14ac:dyDescent="0.35">
      <c r="BD750" s="15">
        <v>46035</v>
      </c>
    </row>
    <row r="751" spans="56:56" x14ac:dyDescent="0.35">
      <c r="BD751" s="15">
        <v>46036</v>
      </c>
    </row>
    <row r="752" spans="56:56" x14ac:dyDescent="0.35">
      <c r="BD752" s="15">
        <v>46037</v>
      </c>
    </row>
    <row r="753" spans="56:56" x14ac:dyDescent="0.35">
      <c r="BD753" s="15">
        <v>46038</v>
      </c>
    </row>
    <row r="754" spans="56:56" x14ac:dyDescent="0.35">
      <c r="BD754" s="15">
        <v>46039</v>
      </c>
    </row>
    <row r="755" spans="56:56" x14ac:dyDescent="0.35">
      <c r="BD755" s="15">
        <v>46040</v>
      </c>
    </row>
    <row r="756" spans="56:56" x14ac:dyDescent="0.35">
      <c r="BD756" s="15">
        <v>46041</v>
      </c>
    </row>
    <row r="757" spans="56:56" x14ac:dyDescent="0.35">
      <c r="BD757" s="15">
        <v>46042</v>
      </c>
    </row>
    <row r="758" spans="56:56" x14ac:dyDescent="0.35">
      <c r="BD758" s="15">
        <v>46043</v>
      </c>
    </row>
    <row r="759" spans="56:56" x14ac:dyDescent="0.35">
      <c r="BD759" s="15">
        <v>46044</v>
      </c>
    </row>
    <row r="760" spans="56:56" x14ac:dyDescent="0.35">
      <c r="BD760" s="15">
        <v>46045</v>
      </c>
    </row>
    <row r="761" spans="56:56" x14ac:dyDescent="0.35">
      <c r="BD761" s="15">
        <v>46046</v>
      </c>
    </row>
    <row r="762" spans="56:56" x14ac:dyDescent="0.35">
      <c r="BD762" s="15">
        <v>46047</v>
      </c>
    </row>
    <row r="763" spans="56:56" x14ac:dyDescent="0.35">
      <c r="BD763" s="15">
        <v>46048</v>
      </c>
    </row>
    <row r="764" spans="56:56" x14ac:dyDescent="0.35">
      <c r="BD764" s="15">
        <v>46049</v>
      </c>
    </row>
    <row r="765" spans="56:56" x14ac:dyDescent="0.35">
      <c r="BD765" s="15">
        <v>46050</v>
      </c>
    </row>
    <row r="766" spans="56:56" x14ac:dyDescent="0.35">
      <c r="BD766" s="15">
        <v>46051</v>
      </c>
    </row>
    <row r="767" spans="56:56" x14ac:dyDescent="0.35">
      <c r="BD767" s="15">
        <v>46052</v>
      </c>
    </row>
    <row r="768" spans="56:56" x14ac:dyDescent="0.35">
      <c r="BD768" s="15">
        <v>46053</v>
      </c>
    </row>
    <row r="769" spans="56:56" x14ac:dyDescent="0.35">
      <c r="BD769" s="15">
        <v>46054</v>
      </c>
    </row>
    <row r="770" spans="56:56" x14ac:dyDescent="0.35">
      <c r="BD770" s="15">
        <v>46055</v>
      </c>
    </row>
    <row r="771" spans="56:56" x14ac:dyDescent="0.35">
      <c r="BD771" s="15">
        <v>46056</v>
      </c>
    </row>
    <row r="772" spans="56:56" x14ac:dyDescent="0.35">
      <c r="BD772" s="15">
        <v>46057</v>
      </c>
    </row>
    <row r="773" spans="56:56" x14ac:dyDescent="0.35">
      <c r="BD773" s="15">
        <v>46058</v>
      </c>
    </row>
    <row r="774" spans="56:56" x14ac:dyDescent="0.35">
      <c r="BD774" s="15">
        <v>46059</v>
      </c>
    </row>
    <row r="775" spans="56:56" x14ac:dyDescent="0.35">
      <c r="BD775" s="15">
        <v>46060</v>
      </c>
    </row>
    <row r="776" spans="56:56" x14ac:dyDescent="0.35">
      <c r="BD776" s="15">
        <v>46061</v>
      </c>
    </row>
    <row r="777" spans="56:56" x14ac:dyDescent="0.35">
      <c r="BD777" s="15">
        <v>46062</v>
      </c>
    </row>
    <row r="778" spans="56:56" x14ac:dyDescent="0.35">
      <c r="BD778" s="15">
        <v>46063</v>
      </c>
    </row>
    <row r="779" spans="56:56" x14ac:dyDescent="0.35">
      <c r="BD779" s="15">
        <v>46064</v>
      </c>
    </row>
    <row r="780" spans="56:56" x14ac:dyDescent="0.35">
      <c r="BD780" s="15">
        <v>46065</v>
      </c>
    </row>
    <row r="781" spans="56:56" x14ac:dyDescent="0.35">
      <c r="BD781" s="15">
        <v>46066</v>
      </c>
    </row>
    <row r="782" spans="56:56" x14ac:dyDescent="0.35">
      <c r="BD782" s="15">
        <v>46067</v>
      </c>
    </row>
    <row r="783" spans="56:56" x14ac:dyDescent="0.35">
      <c r="BD783" s="15">
        <v>46068</v>
      </c>
    </row>
    <row r="784" spans="56:56" x14ac:dyDescent="0.35">
      <c r="BD784" s="15">
        <v>46069</v>
      </c>
    </row>
    <row r="785" spans="56:56" x14ac:dyDescent="0.35">
      <c r="BD785" s="15">
        <v>46070</v>
      </c>
    </row>
    <row r="786" spans="56:56" x14ac:dyDescent="0.35">
      <c r="BD786" s="15">
        <v>46071</v>
      </c>
    </row>
    <row r="787" spans="56:56" x14ac:dyDescent="0.35">
      <c r="BD787" s="15">
        <v>46072</v>
      </c>
    </row>
    <row r="788" spans="56:56" x14ac:dyDescent="0.35">
      <c r="BD788" s="15">
        <v>46073</v>
      </c>
    </row>
    <row r="789" spans="56:56" x14ac:dyDescent="0.35">
      <c r="BD789" s="15">
        <v>46074</v>
      </c>
    </row>
    <row r="790" spans="56:56" x14ac:dyDescent="0.35">
      <c r="BD790" s="15">
        <v>46075</v>
      </c>
    </row>
    <row r="791" spans="56:56" x14ac:dyDescent="0.35">
      <c r="BD791" s="15">
        <v>46076</v>
      </c>
    </row>
    <row r="792" spans="56:56" x14ac:dyDescent="0.35">
      <c r="BD792" s="15">
        <v>46077</v>
      </c>
    </row>
    <row r="793" spans="56:56" x14ac:dyDescent="0.35">
      <c r="BD793" s="15">
        <v>46078</v>
      </c>
    </row>
    <row r="794" spans="56:56" x14ac:dyDescent="0.35">
      <c r="BD794" s="15">
        <v>46079</v>
      </c>
    </row>
    <row r="795" spans="56:56" x14ac:dyDescent="0.35">
      <c r="BD795" s="15">
        <v>46080</v>
      </c>
    </row>
    <row r="796" spans="56:56" x14ac:dyDescent="0.35">
      <c r="BD796" s="15">
        <v>46081</v>
      </c>
    </row>
    <row r="797" spans="56:56" x14ac:dyDescent="0.35">
      <c r="BD797" s="15">
        <v>46082</v>
      </c>
    </row>
    <row r="798" spans="56:56" x14ac:dyDescent="0.35">
      <c r="BD798" s="15">
        <v>46083</v>
      </c>
    </row>
    <row r="799" spans="56:56" x14ac:dyDescent="0.35">
      <c r="BD799" s="15">
        <v>46084</v>
      </c>
    </row>
    <row r="800" spans="56:56" x14ac:dyDescent="0.35">
      <c r="BD800" s="15">
        <v>46085</v>
      </c>
    </row>
    <row r="801" spans="56:56" x14ac:dyDescent="0.35">
      <c r="BD801" s="15">
        <v>46086</v>
      </c>
    </row>
    <row r="802" spans="56:56" x14ac:dyDescent="0.35">
      <c r="BD802" s="15">
        <v>46087</v>
      </c>
    </row>
    <row r="803" spans="56:56" x14ac:dyDescent="0.35">
      <c r="BD803" s="15">
        <v>46088</v>
      </c>
    </row>
    <row r="804" spans="56:56" x14ac:dyDescent="0.35">
      <c r="BD804" s="15">
        <v>46089</v>
      </c>
    </row>
    <row r="805" spans="56:56" x14ac:dyDescent="0.35">
      <c r="BD805" s="15">
        <v>46090</v>
      </c>
    </row>
    <row r="806" spans="56:56" x14ac:dyDescent="0.35">
      <c r="BD806" s="15">
        <v>46091</v>
      </c>
    </row>
    <row r="807" spans="56:56" x14ac:dyDescent="0.35">
      <c r="BD807" s="15">
        <v>46092</v>
      </c>
    </row>
    <row r="808" spans="56:56" x14ac:dyDescent="0.35">
      <c r="BD808" s="15">
        <v>46093</v>
      </c>
    </row>
    <row r="809" spans="56:56" x14ac:dyDescent="0.35">
      <c r="BD809" s="15">
        <v>46094</v>
      </c>
    </row>
    <row r="810" spans="56:56" x14ac:dyDescent="0.35">
      <c r="BD810" s="15">
        <v>46095</v>
      </c>
    </row>
    <row r="811" spans="56:56" x14ac:dyDescent="0.35">
      <c r="BD811" s="15">
        <v>46096</v>
      </c>
    </row>
    <row r="812" spans="56:56" x14ac:dyDescent="0.35">
      <c r="BD812" s="15">
        <v>46097</v>
      </c>
    </row>
    <row r="813" spans="56:56" x14ac:dyDescent="0.35">
      <c r="BD813" s="15">
        <v>46098</v>
      </c>
    </row>
    <row r="814" spans="56:56" x14ac:dyDescent="0.35">
      <c r="BD814" s="15">
        <v>46099</v>
      </c>
    </row>
    <row r="815" spans="56:56" x14ac:dyDescent="0.35">
      <c r="BD815" s="15">
        <v>46100</v>
      </c>
    </row>
    <row r="816" spans="56:56" x14ac:dyDescent="0.35">
      <c r="BD816" s="15">
        <v>46101</v>
      </c>
    </row>
    <row r="817" spans="56:56" x14ac:dyDescent="0.35">
      <c r="BD817" s="15">
        <v>46102</v>
      </c>
    </row>
    <row r="818" spans="56:56" x14ac:dyDescent="0.35">
      <c r="BD818" s="15">
        <v>46103</v>
      </c>
    </row>
    <row r="819" spans="56:56" x14ac:dyDescent="0.35">
      <c r="BD819" s="15">
        <v>46104</v>
      </c>
    </row>
    <row r="820" spans="56:56" x14ac:dyDescent="0.35">
      <c r="BD820" s="15">
        <v>46105</v>
      </c>
    </row>
    <row r="821" spans="56:56" x14ac:dyDescent="0.35">
      <c r="BD821" s="15">
        <v>46106</v>
      </c>
    </row>
    <row r="822" spans="56:56" x14ac:dyDescent="0.35">
      <c r="BD822" s="15">
        <v>46107</v>
      </c>
    </row>
    <row r="823" spans="56:56" x14ac:dyDescent="0.35">
      <c r="BD823" s="15">
        <v>46108</v>
      </c>
    </row>
    <row r="824" spans="56:56" x14ac:dyDescent="0.35">
      <c r="BD824" s="15">
        <v>46109</v>
      </c>
    </row>
    <row r="825" spans="56:56" x14ac:dyDescent="0.35">
      <c r="BD825" s="15">
        <v>46110</v>
      </c>
    </row>
    <row r="826" spans="56:56" x14ac:dyDescent="0.35">
      <c r="BD826" s="15">
        <v>46111</v>
      </c>
    </row>
    <row r="827" spans="56:56" x14ac:dyDescent="0.35">
      <c r="BD827" s="15">
        <v>46112</v>
      </c>
    </row>
    <row r="828" spans="56:56" x14ac:dyDescent="0.35">
      <c r="BD828" s="15">
        <v>46113</v>
      </c>
    </row>
    <row r="829" spans="56:56" x14ac:dyDescent="0.35">
      <c r="BD829" s="15">
        <v>46114</v>
      </c>
    </row>
    <row r="830" spans="56:56" x14ac:dyDescent="0.35">
      <c r="BD830" s="15">
        <v>46115</v>
      </c>
    </row>
    <row r="831" spans="56:56" x14ac:dyDescent="0.35">
      <c r="BD831" s="15">
        <v>46116</v>
      </c>
    </row>
    <row r="832" spans="56:56" x14ac:dyDescent="0.35">
      <c r="BD832" s="15">
        <v>46117</v>
      </c>
    </row>
    <row r="833" spans="56:56" x14ac:dyDescent="0.35">
      <c r="BD833" s="15">
        <v>46118</v>
      </c>
    </row>
    <row r="834" spans="56:56" x14ac:dyDescent="0.35">
      <c r="BD834" s="15">
        <v>46119</v>
      </c>
    </row>
    <row r="835" spans="56:56" x14ac:dyDescent="0.35">
      <c r="BD835" s="15">
        <v>46120</v>
      </c>
    </row>
    <row r="836" spans="56:56" x14ac:dyDescent="0.35">
      <c r="BD836" s="15">
        <v>46121</v>
      </c>
    </row>
    <row r="837" spans="56:56" x14ac:dyDescent="0.35">
      <c r="BD837" s="15">
        <v>46122</v>
      </c>
    </row>
    <row r="838" spans="56:56" x14ac:dyDescent="0.35">
      <c r="BD838" s="15">
        <v>46123</v>
      </c>
    </row>
    <row r="839" spans="56:56" x14ac:dyDescent="0.35">
      <c r="BD839" s="15">
        <v>46124</v>
      </c>
    </row>
    <row r="840" spans="56:56" x14ac:dyDescent="0.35">
      <c r="BD840" s="15">
        <v>46125</v>
      </c>
    </row>
    <row r="841" spans="56:56" x14ac:dyDescent="0.35">
      <c r="BD841" s="15">
        <v>46126</v>
      </c>
    </row>
    <row r="842" spans="56:56" x14ac:dyDescent="0.35">
      <c r="BD842" s="15">
        <v>46127</v>
      </c>
    </row>
    <row r="843" spans="56:56" x14ac:dyDescent="0.35">
      <c r="BD843" s="15">
        <v>46128</v>
      </c>
    </row>
    <row r="844" spans="56:56" x14ac:dyDescent="0.35">
      <c r="BD844" s="15">
        <v>46129</v>
      </c>
    </row>
    <row r="845" spans="56:56" x14ac:dyDescent="0.35">
      <c r="BD845" s="15">
        <v>46130</v>
      </c>
    </row>
    <row r="846" spans="56:56" x14ac:dyDescent="0.35">
      <c r="BD846" s="15">
        <v>46131</v>
      </c>
    </row>
    <row r="847" spans="56:56" x14ac:dyDescent="0.35">
      <c r="BD847" s="15">
        <v>46132</v>
      </c>
    </row>
    <row r="848" spans="56:56" x14ac:dyDescent="0.35">
      <c r="BD848" s="15">
        <v>46133</v>
      </c>
    </row>
    <row r="849" spans="56:56" x14ac:dyDescent="0.35">
      <c r="BD849" s="15">
        <v>46134</v>
      </c>
    </row>
    <row r="850" spans="56:56" x14ac:dyDescent="0.35">
      <c r="BD850" s="15">
        <v>46135</v>
      </c>
    </row>
    <row r="851" spans="56:56" x14ac:dyDescent="0.35">
      <c r="BD851" s="15">
        <v>46136</v>
      </c>
    </row>
    <row r="852" spans="56:56" x14ac:dyDescent="0.35">
      <c r="BD852" s="15">
        <v>46137</v>
      </c>
    </row>
    <row r="853" spans="56:56" x14ac:dyDescent="0.35">
      <c r="BD853" s="15">
        <v>46138</v>
      </c>
    </row>
    <row r="854" spans="56:56" x14ac:dyDescent="0.35">
      <c r="BD854" s="15">
        <v>46139</v>
      </c>
    </row>
    <row r="855" spans="56:56" x14ac:dyDescent="0.35">
      <c r="BD855" s="15">
        <v>46140</v>
      </c>
    </row>
    <row r="856" spans="56:56" x14ac:dyDescent="0.35">
      <c r="BD856" s="15">
        <v>46141</v>
      </c>
    </row>
    <row r="857" spans="56:56" x14ac:dyDescent="0.35">
      <c r="BD857" s="15">
        <v>46142</v>
      </c>
    </row>
    <row r="858" spans="56:56" x14ac:dyDescent="0.35">
      <c r="BD858" s="15">
        <v>46143</v>
      </c>
    </row>
    <row r="859" spans="56:56" x14ac:dyDescent="0.35">
      <c r="BD859" s="15">
        <v>46144</v>
      </c>
    </row>
    <row r="860" spans="56:56" x14ac:dyDescent="0.35">
      <c r="BD860" s="15">
        <v>46145</v>
      </c>
    </row>
    <row r="861" spans="56:56" x14ac:dyDescent="0.35">
      <c r="BD861" s="15">
        <v>46146</v>
      </c>
    </row>
    <row r="862" spans="56:56" x14ac:dyDescent="0.35">
      <c r="BD862" s="15">
        <v>46147</v>
      </c>
    </row>
    <row r="863" spans="56:56" x14ac:dyDescent="0.35">
      <c r="BD863" s="15">
        <v>46148</v>
      </c>
    </row>
    <row r="864" spans="56:56" x14ac:dyDescent="0.35">
      <c r="BD864" s="15">
        <v>46149</v>
      </c>
    </row>
    <row r="865" spans="56:56" x14ac:dyDescent="0.35">
      <c r="BD865" s="15">
        <v>46150</v>
      </c>
    </row>
    <row r="866" spans="56:56" x14ac:dyDescent="0.35">
      <c r="BD866" s="15">
        <v>46151</v>
      </c>
    </row>
    <row r="867" spans="56:56" x14ac:dyDescent="0.35">
      <c r="BD867" s="15">
        <v>46152</v>
      </c>
    </row>
    <row r="868" spans="56:56" x14ac:dyDescent="0.35">
      <c r="BD868" s="15">
        <v>46153</v>
      </c>
    </row>
    <row r="869" spans="56:56" x14ac:dyDescent="0.35">
      <c r="BD869" s="15">
        <v>46154</v>
      </c>
    </row>
    <row r="870" spans="56:56" x14ac:dyDescent="0.35">
      <c r="BD870" s="15">
        <v>46155</v>
      </c>
    </row>
    <row r="871" spans="56:56" x14ac:dyDescent="0.35">
      <c r="BD871" s="15">
        <v>46156</v>
      </c>
    </row>
    <row r="872" spans="56:56" x14ac:dyDescent="0.35">
      <c r="BD872" s="15">
        <v>46157</v>
      </c>
    </row>
    <row r="873" spans="56:56" x14ac:dyDescent="0.35">
      <c r="BD873" s="15">
        <v>46158</v>
      </c>
    </row>
    <row r="874" spans="56:56" x14ac:dyDescent="0.35">
      <c r="BD874" s="15">
        <v>46159</v>
      </c>
    </row>
    <row r="875" spans="56:56" x14ac:dyDescent="0.35">
      <c r="BD875" s="15">
        <v>46160</v>
      </c>
    </row>
    <row r="876" spans="56:56" x14ac:dyDescent="0.35">
      <c r="BD876" s="15">
        <v>46161</v>
      </c>
    </row>
    <row r="877" spans="56:56" x14ac:dyDescent="0.35">
      <c r="BD877" s="15">
        <v>46162</v>
      </c>
    </row>
    <row r="878" spans="56:56" x14ac:dyDescent="0.35">
      <c r="BD878" s="15">
        <v>46163</v>
      </c>
    </row>
    <row r="879" spans="56:56" x14ac:dyDescent="0.35">
      <c r="BD879" s="15">
        <v>46164</v>
      </c>
    </row>
    <row r="880" spans="56:56" x14ac:dyDescent="0.35">
      <c r="BD880" s="15">
        <v>46165</v>
      </c>
    </row>
    <row r="881" spans="56:56" x14ac:dyDescent="0.35">
      <c r="BD881" s="15">
        <v>46166</v>
      </c>
    </row>
    <row r="882" spans="56:56" x14ac:dyDescent="0.35">
      <c r="BD882" s="15">
        <v>46167</v>
      </c>
    </row>
    <row r="883" spans="56:56" x14ac:dyDescent="0.35">
      <c r="BD883" s="15">
        <v>46168</v>
      </c>
    </row>
    <row r="884" spans="56:56" x14ac:dyDescent="0.35">
      <c r="BD884" s="15">
        <v>46169</v>
      </c>
    </row>
    <row r="885" spans="56:56" x14ac:dyDescent="0.35">
      <c r="BD885" s="15">
        <v>46170</v>
      </c>
    </row>
    <row r="886" spans="56:56" x14ac:dyDescent="0.35">
      <c r="BD886" s="15">
        <v>46171</v>
      </c>
    </row>
    <row r="887" spans="56:56" x14ac:dyDescent="0.35">
      <c r="BD887" s="15">
        <v>46172</v>
      </c>
    </row>
    <row r="888" spans="56:56" x14ac:dyDescent="0.35">
      <c r="BD888" s="15">
        <v>46173</v>
      </c>
    </row>
    <row r="889" spans="56:56" x14ac:dyDescent="0.35">
      <c r="BD889" s="15">
        <v>46174</v>
      </c>
    </row>
    <row r="890" spans="56:56" x14ac:dyDescent="0.35">
      <c r="BD890" s="15">
        <v>46175</v>
      </c>
    </row>
    <row r="891" spans="56:56" x14ac:dyDescent="0.35">
      <c r="BD891" s="15">
        <v>46176</v>
      </c>
    </row>
    <row r="892" spans="56:56" x14ac:dyDescent="0.35">
      <c r="BD892" s="15">
        <v>46177</v>
      </c>
    </row>
    <row r="893" spans="56:56" x14ac:dyDescent="0.35">
      <c r="BD893" s="15">
        <v>46178</v>
      </c>
    </row>
    <row r="894" spans="56:56" x14ac:dyDescent="0.35">
      <c r="BD894" s="15">
        <v>46179</v>
      </c>
    </row>
    <row r="895" spans="56:56" x14ac:dyDescent="0.35">
      <c r="BD895" s="15">
        <v>46180</v>
      </c>
    </row>
    <row r="896" spans="56:56" x14ac:dyDescent="0.35">
      <c r="BD896" s="15">
        <v>46181</v>
      </c>
    </row>
    <row r="897" spans="56:56" x14ac:dyDescent="0.35">
      <c r="BD897" s="15">
        <v>46182</v>
      </c>
    </row>
    <row r="898" spans="56:56" x14ac:dyDescent="0.35">
      <c r="BD898" s="15">
        <v>46183</v>
      </c>
    </row>
    <row r="899" spans="56:56" x14ac:dyDescent="0.35">
      <c r="BD899" s="15">
        <v>46184</v>
      </c>
    </row>
    <row r="900" spans="56:56" x14ac:dyDescent="0.35">
      <c r="BD900" s="15">
        <v>46185</v>
      </c>
    </row>
    <row r="901" spans="56:56" x14ac:dyDescent="0.35">
      <c r="BD901" s="15">
        <v>46186</v>
      </c>
    </row>
    <row r="902" spans="56:56" x14ac:dyDescent="0.35">
      <c r="BD902" s="15">
        <v>46187</v>
      </c>
    </row>
    <row r="903" spans="56:56" x14ac:dyDescent="0.35">
      <c r="BD903" s="15">
        <v>46188</v>
      </c>
    </row>
    <row r="904" spans="56:56" x14ac:dyDescent="0.35">
      <c r="BD904" s="15">
        <v>46189</v>
      </c>
    </row>
    <row r="905" spans="56:56" x14ac:dyDescent="0.35">
      <c r="BD905" s="15">
        <v>46190</v>
      </c>
    </row>
    <row r="906" spans="56:56" x14ac:dyDescent="0.35">
      <c r="BD906" s="15">
        <v>46191</v>
      </c>
    </row>
    <row r="907" spans="56:56" x14ac:dyDescent="0.35">
      <c r="BD907" s="15">
        <v>46192</v>
      </c>
    </row>
    <row r="908" spans="56:56" x14ac:dyDescent="0.35">
      <c r="BD908" s="15">
        <v>46193</v>
      </c>
    </row>
    <row r="909" spans="56:56" x14ac:dyDescent="0.35">
      <c r="BD909" s="15">
        <v>46194</v>
      </c>
    </row>
    <row r="910" spans="56:56" x14ac:dyDescent="0.35">
      <c r="BD910" s="15">
        <v>46195</v>
      </c>
    </row>
    <row r="911" spans="56:56" x14ac:dyDescent="0.35">
      <c r="BD911" s="15">
        <v>46196</v>
      </c>
    </row>
    <row r="912" spans="56:56" x14ac:dyDescent="0.35">
      <c r="BD912" s="15">
        <v>46197</v>
      </c>
    </row>
    <row r="913" spans="56:56" x14ac:dyDescent="0.35">
      <c r="BD913" s="15">
        <v>46198</v>
      </c>
    </row>
    <row r="914" spans="56:56" x14ac:dyDescent="0.35">
      <c r="BD914" s="15">
        <v>46199</v>
      </c>
    </row>
    <row r="915" spans="56:56" x14ac:dyDescent="0.35">
      <c r="BD915" s="15">
        <v>46200</v>
      </c>
    </row>
    <row r="916" spans="56:56" x14ac:dyDescent="0.35">
      <c r="BD916" s="15">
        <v>46201</v>
      </c>
    </row>
    <row r="917" spans="56:56" x14ac:dyDescent="0.35">
      <c r="BD917" s="15">
        <v>46202</v>
      </c>
    </row>
    <row r="918" spans="56:56" x14ac:dyDescent="0.35">
      <c r="BD918" s="15">
        <v>46203</v>
      </c>
    </row>
    <row r="919" spans="56:56" x14ac:dyDescent="0.35">
      <c r="BD919" s="15">
        <v>46204</v>
      </c>
    </row>
    <row r="920" spans="56:56" x14ac:dyDescent="0.35">
      <c r="BD920" s="15">
        <v>46205</v>
      </c>
    </row>
    <row r="921" spans="56:56" x14ac:dyDescent="0.35">
      <c r="BD921" s="15">
        <v>46206</v>
      </c>
    </row>
    <row r="922" spans="56:56" x14ac:dyDescent="0.35">
      <c r="BD922" s="15">
        <v>46207</v>
      </c>
    </row>
    <row r="923" spans="56:56" x14ac:dyDescent="0.35">
      <c r="BD923" s="15">
        <v>46208</v>
      </c>
    </row>
    <row r="924" spans="56:56" x14ac:dyDescent="0.35">
      <c r="BD924" s="15">
        <v>46209</v>
      </c>
    </row>
    <row r="925" spans="56:56" x14ac:dyDescent="0.35">
      <c r="BD925" s="15">
        <v>46210</v>
      </c>
    </row>
    <row r="926" spans="56:56" x14ac:dyDescent="0.35">
      <c r="BD926" s="15">
        <v>46211</v>
      </c>
    </row>
    <row r="927" spans="56:56" x14ac:dyDescent="0.35">
      <c r="BD927" s="15">
        <v>46212</v>
      </c>
    </row>
    <row r="928" spans="56:56" x14ac:dyDescent="0.35">
      <c r="BD928" s="15">
        <v>46213</v>
      </c>
    </row>
    <row r="929" spans="56:56" x14ac:dyDescent="0.35">
      <c r="BD929" s="15">
        <v>46214</v>
      </c>
    </row>
    <row r="930" spans="56:56" x14ac:dyDescent="0.35">
      <c r="BD930" s="15">
        <v>46215</v>
      </c>
    </row>
    <row r="931" spans="56:56" x14ac:dyDescent="0.35">
      <c r="BD931" s="15">
        <v>46216</v>
      </c>
    </row>
    <row r="932" spans="56:56" x14ac:dyDescent="0.35">
      <c r="BD932" s="15">
        <v>46217</v>
      </c>
    </row>
    <row r="933" spans="56:56" x14ac:dyDescent="0.35">
      <c r="BD933" s="15">
        <v>46218</v>
      </c>
    </row>
    <row r="934" spans="56:56" x14ac:dyDescent="0.35">
      <c r="BD934" s="15">
        <v>46219</v>
      </c>
    </row>
    <row r="935" spans="56:56" x14ac:dyDescent="0.35">
      <c r="BD935" s="15">
        <v>46220</v>
      </c>
    </row>
    <row r="936" spans="56:56" x14ac:dyDescent="0.35">
      <c r="BD936" s="15">
        <v>46221</v>
      </c>
    </row>
    <row r="937" spans="56:56" x14ac:dyDescent="0.35">
      <c r="BD937" s="15">
        <v>46222</v>
      </c>
    </row>
    <row r="938" spans="56:56" x14ac:dyDescent="0.35">
      <c r="BD938" s="15">
        <v>46223</v>
      </c>
    </row>
    <row r="939" spans="56:56" x14ac:dyDescent="0.35">
      <c r="BD939" s="15">
        <v>46224</v>
      </c>
    </row>
    <row r="940" spans="56:56" x14ac:dyDescent="0.35">
      <c r="BD940" s="15">
        <v>46225</v>
      </c>
    </row>
    <row r="941" spans="56:56" x14ac:dyDescent="0.35">
      <c r="BD941" s="15">
        <v>46226</v>
      </c>
    </row>
    <row r="942" spans="56:56" x14ac:dyDescent="0.35">
      <c r="BD942" s="15">
        <v>46227</v>
      </c>
    </row>
    <row r="943" spans="56:56" x14ac:dyDescent="0.35">
      <c r="BD943" s="15">
        <v>46228</v>
      </c>
    </row>
    <row r="944" spans="56:56" x14ac:dyDescent="0.35">
      <c r="BD944" s="15">
        <v>46229</v>
      </c>
    </row>
    <row r="945" spans="56:56" x14ac:dyDescent="0.35">
      <c r="BD945" s="15">
        <v>46230</v>
      </c>
    </row>
    <row r="946" spans="56:56" x14ac:dyDescent="0.35">
      <c r="BD946" s="15">
        <v>46231</v>
      </c>
    </row>
    <row r="947" spans="56:56" x14ac:dyDescent="0.35">
      <c r="BD947" s="15">
        <v>46232</v>
      </c>
    </row>
    <row r="948" spans="56:56" x14ac:dyDescent="0.35">
      <c r="BD948" s="15">
        <v>46233</v>
      </c>
    </row>
    <row r="949" spans="56:56" x14ac:dyDescent="0.35">
      <c r="BD949" s="15">
        <v>46234</v>
      </c>
    </row>
    <row r="950" spans="56:56" x14ac:dyDescent="0.35">
      <c r="BD950" s="15">
        <v>46235</v>
      </c>
    </row>
    <row r="951" spans="56:56" x14ac:dyDescent="0.35">
      <c r="BD951" s="15">
        <v>46236</v>
      </c>
    </row>
    <row r="952" spans="56:56" x14ac:dyDescent="0.35">
      <c r="BD952" s="15">
        <v>46237</v>
      </c>
    </row>
    <row r="953" spans="56:56" x14ac:dyDescent="0.35">
      <c r="BD953" s="15">
        <v>46238</v>
      </c>
    </row>
    <row r="954" spans="56:56" x14ac:dyDescent="0.35">
      <c r="BD954" s="15">
        <v>46239</v>
      </c>
    </row>
    <row r="955" spans="56:56" x14ac:dyDescent="0.35">
      <c r="BD955" s="15">
        <v>46240</v>
      </c>
    </row>
    <row r="956" spans="56:56" x14ac:dyDescent="0.35">
      <c r="BD956" s="15">
        <v>46241</v>
      </c>
    </row>
    <row r="957" spans="56:56" x14ac:dyDescent="0.35">
      <c r="BD957" s="15">
        <v>46242</v>
      </c>
    </row>
    <row r="958" spans="56:56" x14ac:dyDescent="0.35">
      <c r="BD958" s="15">
        <v>46243</v>
      </c>
    </row>
    <row r="959" spans="56:56" x14ac:dyDescent="0.35">
      <c r="BD959" s="15">
        <v>46244</v>
      </c>
    </row>
    <row r="960" spans="56:56" x14ac:dyDescent="0.35">
      <c r="BD960" s="15">
        <v>46245</v>
      </c>
    </row>
    <row r="961" spans="56:56" x14ac:dyDescent="0.35">
      <c r="BD961" s="15">
        <v>46246</v>
      </c>
    </row>
    <row r="962" spans="56:56" x14ac:dyDescent="0.35">
      <c r="BD962" s="15">
        <v>46247</v>
      </c>
    </row>
    <row r="963" spans="56:56" x14ac:dyDescent="0.35">
      <c r="BD963" s="15">
        <v>46248</v>
      </c>
    </row>
    <row r="964" spans="56:56" x14ac:dyDescent="0.35">
      <c r="BD964" s="15">
        <v>46249</v>
      </c>
    </row>
    <row r="965" spans="56:56" x14ac:dyDescent="0.35">
      <c r="BD965" s="15">
        <v>46250</v>
      </c>
    </row>
    <row r="966" spans="56:56" x14ac:dyDescent="0.35">
      <c r="BD966" s="15">
        <v>46251</v>
      </c>
    </row>
    <row r="967" spans="56:56" x14ac:dyDescent="0.35">
      <c r="BD967" s="15">
        <v>46252</v>
      </c>
    </row>
    <row r="968" spans="56:56" x14ac:dyDescent="0.35">
      <c r="BD968" s="15">
        <v>46253</v>
      </c>
    </row>
    <row r="969" spans="56:56" x14ac:dyDescent="0.35">
      <c r="BD969" s="15">
        <v>46254</v>
      </c>
    </row>
    <row r="970" spans="56:56" x14ac:dyDescent="0.35">
      <c r="BD970" s="15">
        <v>46255</v>
      </c>
    </row>
    <row r="971" spans="56:56" x14ac:dyDescent="0.35">
      <c r="BD971" s="15">
        <v>46256</v>
      </c>
    </row>
    <row r="972" spans="56:56" x14ac:dyDescent="0.35">
      <c r="BD972" s="15">
        <v>46257</v>
      </c>
    </row>
    <row r="973" spans="56:56" x14ac:dyDescent="0.35">
      <c r="BD973" s="15">
        <v>46258</v>
      </c>
    </row>
    <row r="974" spans="56:56" x14ac:dyDescent="0.35">
      <c r="BD974" s="15">
        <v>46259</v>
      </c>
    </row>
    <row r="975" spans="56:56" x14ac:dyDescent="0.35">
      <c r="BD975" s="15">
        <v>46260</v>
      </c>
    </row>
    <row r="976" spans="56:56" x14ac:dyDescent="0.35">
      <c r="BD976" s="15">
        <v>46261</v>
      </c>
    </row>
    <row r="977" spans="56:56" x14ac:dyDescent="0.35">
      <c r="BD977" s="15">
        <v>46262</v>
      </c>
    </row>
    <row r="978" spans="56:56" x14ac:dyDescent="0.35">
      <c r="BD978" s="15">
        <v>46263</v>
      </c>
    </row>
    <row r="979" spans="56:56" x14ac:dyDescent="0.35">
      <c r="BD979" s="15">
        <v>46264</v>
      </c>
    </row>
    <row r="980" spans="56:56" x14ac:dyDescent="0.35">
      <c r="BD980" s="15">
        <v>46265</v>
      </c>
    </row>
    <row r="981" spans="56:56" x14ac:dyDescent="0.35">
      <c r="BD981" s="15">
        <v>46266</v>
      </c>
    </row>
    <row r="982" spans="56:56" x14ac:dyDescent="0.35">
      <c r="BD982" s="15">
        <v>46267</v>
      </c>
    </row>
    <row r="983" spans="56:56" x14ac:dyDescent="0.35">
      <c r="BD983" s="15">
        <v>46268</v>
      </c>
    </row>
    <row r="984" spans="56:56" x14ac:dyDescent="0.35">
      <c r="BD984" s="15">
        <v>46269</v>
      </c>
    </row>
    <row r="985" spans="56:56" x14ac:dyDescent="0.35">
      <c r="BD985" s="15">
        <v>46270</v>
      </c>
    </row>
    <row r="986" spans="56:56" x14ac:dyDescent="0.35">
      <c r="BD986" s="15">
        <v>46271</v>
      </c>
    </row>
    <row r="987" spans="56:56" x14ac:dyDescent="0.35">
      <c r="BD987" s="15">
        <v>46272</v>
      </c>
    </row>
    <row r="988" spans="56:56" x14ac:dyDescent="0.35">
      <c r="BD988" s="15">
        <v>46273</v>
      </c>
    </row>
    <row r="989" spans="56:56" x14ac:dyDescent="0.35">
      <c r="BD989" s="15">
        <v>46274</v>
      </c>
    </row>
    <row r="990" spans="56:56" x14ac:dyDescent="0.35">
      <c r="BD990" s="15">
        <v>46275</v>
      </c>
    </row>
    <row r="991" spans="56:56" x14ac:dyDescent="0.35">
      <c r="BD991" s="15">
        <v>46276</v>
      </c>
    </row>
    <row r="992" spans="56:56" x14ac:dyDescent="0.35">
      <c r="BD992" s="15">
        <v>46277</v>
      </c>
    </row>
    <row r="993" spans="56:56" x14ac:dyDescent="0.35">
      <c r="BD993" s="15">
        <v>46278</v>
      </c>
    </row>
    <row r="994" spans="56:56" x14ac:dyDescent="0.35">
      <c r="BD994" s="15">
        <v>46279</v>
      </c>
    </row>
    <row r="995" spans="56:56" x14ac:dyDescent="0.35">
      <c r="BD995" s="15">
        <v>46280</v>
      </c>
    </row>
    <row r="996" spans="56:56" x14ac:dyDescent="0.35">
      <c r="BD996" s="15">
        <v>46281</v>
      </c>
    </row>
    <row r="997" spans="56:56" x14ac:dyDescent="0.35">
      <c r="BD997" s="15">
        <v>46282</v>
      </c>
    </row>
    <row r="998" spans="56:56" x14ac:dyDescent="0.35">
      <c r="BD998" s="15">
        <v>46283</v>
      </c>
    </row>
    <row r="999" spans="56:56" x14ac:dyDescent="0.35">
      <c r="BD999" s="15">
        <v>46284</v>
      </c>
    </row>
    <row r="1000" spans="56:56" x14ac:dyDescent="0.35">
      <c r="BD1000" s="15">
        <v>46285</v>
      </c>
    </row>
    <row r="1001" spans="56:56" x14ac:dyDescent="0.35">
      <c r="BD1001" s="15">
        <v>46286</v>
      </c>
    </row>
    <row r="1002" spans="56:56" x14ac:dyDescent="0.35">
      <c r="BD1002" s="15">
        <v>46287</v>
      </c>
    </row>
    <row r="1003" spans="56:56" x14ac:dyDescent="0.35">
      <c r="BD1003" s="15">
        <v>46288</v>
      </c>
    </row>
    <row r="1004" spans="56:56" x14ac:dyDescent="0.35">
      <c r="BD1004" s="15">
        <v>46289</v>
      </c>
    </row>
    <row r="1005" spans="56:56" x14ac:dyDescent="0.35">
      <c r="BD1005" s="15">
        <v>46290</v>
      </c>
    </row>
    <row r="1006" spans="56:56" x14ac:dyDescent="0.35">
      <c r="BD1006" s="15">
        <v>46291</v>
      </c>
    </row>
    <row r="1007" spans="56:56" x14ac:dyDescent="0.35">
      <c r="BD1007" s="15">
        <v>46292</v>
      </c>
    </row>
    <row r="1008" spans="56:56" x14ac:dyDescent="0.35">
      <c r="BD1008" s="15">
        <v>46293</v>
      </c>
    </row>
    <row r="1009" spans="56:56" x14ac:dyDescent="0.35">
      <c r="BD1009" s="15">
        <v>46294</v>
      </c>
    </row>
    <row r="1010" spans="56:56" x14ac:dyDescent="0.35">
      <c r="BD1010" s="15">
        <v>46295</v>
      </c>
    </row>
    <row r="1011" spans="56:56" x14ac:dyDescent="0.35">
      <c r="BD1011" s="15">
        <v>46296</v>
      </c>
    </row>
    <row r="1012" spans="56:56" x14ac:dyDescent="0.35">
      <c r="BD1012" s="15">
        <v>46297</v>
      </c>
    </row>
    <row r="1013" spans="56:56" x14ac:dyDescent="0.35">
      <c r="BD1013" s="15">
        <v>46298</v>
      </c>
    </row>
    <row r="1014" spans="56:56" x14ac:dyDescent="0.35">
      <c r="BD1014" s="15">
        <v>46299</v>
      </c>
    </row>
    <row r="1015" spans="56:56" x14ac:dyDescent="0.35">
      <c r="BD1015" s="15">
        <v>46300</v>
      </c>
    </row>
    <row r="1016" spans="56:56" x14ac:dyDescent="0.35">
      <c r="BD1016" s="15">
        <v>46301</v>
      </c>
    </row>
    <row r="1017" spans="56:56" x14ac:dyDescent="0.35">
      <c r="BD1017" s="15">
        <v>46302</v>
      </c>
    </row>
    <row r="1018" spans="56:56" x14ac:dyDescent="0.35">
      <c r="BD1018" s="15">
        <v>46303</v>
      </c>
    </row>
    <row r="1019" spans="56:56" x14ac:dyDescent="0.35">
      <c r="BD1019" s="15">
        <v>46304</v>
      </c>
    </row>
    <row r="1020" spans="56:56" x14ac:dyDescent="0.35">
      <c r="BD1020" s="15">
        <v>46305</v>
      </c>
    </row>
    <row r="1021" spans="56:56" x14ac:dyDescent="0.35">
      <c r="BD1021" s="15">
        <v>46306</v>
      </c>
    </row>
    <row r="1022" spans="56:56" x14ac:dyDescent="0.35">
      <c r="BD1022" s="15">
        <v>46307</v>
      </c>
    </row>
    <row r="1023" spans="56:56" x14ac:dyDescent="0.35">
      <c r="BD1023" s="15">
        <v>46308</v>
      </c>
    </row>
    <row r="1024" spans="56:56" x14ac:dyDescent="0.35">
      <c r="BD1024" s="15">
        <v>46309</v>
      </c>
    </row>
    <row r="1025" spans="56:56" x14ac:dyDescent="0.35">
      <c r="BD1025" s="15">
        <v>46310</v>
      </c>
    </row>
    <row r="1026" spans="56:56" x14ac:dyDescent="0.35">
      <c r="BD1026" s="15">
        <v>46311</v>
      </c>
    </row>
    <row r="1027" spans="56:56" x14ac:dyDescent="0.35">
      <c r="BD1027" s="15">
        <v>46312</v>
      </c>
    </row>
    <row r="1028" spans="56:56" x14ac:dyDescent="0.35">
      <c r="BD1028" s="15">
        <v>46313</v>
      </c>
    </row>
    <row r="1029" spans="56:56" x14ac:dyDescent="0.35">
      <c r="BD1029" s="15">
        <v>46314</v>
      </c>
    </row>
    <row r="1030" spans="56:56" x14ac:dyDescent="0.35">
      <c r="BD1030" s="15">
        <v>46315</v>
      </c>
    </row>
    <row r="1031" spans="56:56" x14ac:dyDescent="0.35">
      <c r="BD1031" s="15">
        <v>46316</v>
      </c>
    </row>
    <row r="1032" spans="56:56" x14ac:dyDescent="0.35">
      <c r="BD1032" s="15">
        <v>46317</v>
      </c>
    </row>
    <row r="1033" spans="56:56" x14ac:dyDescent="0.35">
      <c r="BD1033" s="15">
        <v>46318</v>
      </c>
    </row>
    <row r="1034" spans="56:56" x14ac:dyDescent="0.35">
      <c r="BD1034" s="15">
        <v>46319</v>
      </c>
    </row>
    <row r="1035" spans="56:56" x14ac:dyDescent="0.35">
      <c r="BD1035" s="15">
        <v>46320</v>
      </c>
    </row>
    <row r="1036" spans="56:56" x14ac:dyDescent="0.35">
      <c r="BD1036" s="15">
        <v>46321</v>
      </c>
    </row>
    <row r="1037" spans="56:56" x14ac:dyDescent="0.35">
      <c r="BD1037" s="15">
        <v>46322</v>
      </c>
    </row>
    <row r="1038" spans="56:56" x14ac:dyDescent="0.35">
      <c r="BD1038" s="15">
        <v>46323</v>
      </c>
    </row>
    <row r="1039" spans="56:56" x14ac:dyDescent="0.35">
      <c r="BD1039" s="15">
        <v>46324</v>
      </c>
    </row>
    <row r="1040" spans="56:56" x14ac:dyDescent="0.35">
      <c r="BD1040" s="15">
        <v>46325</v>
      </c>
    </row>
    <row r="1041" spans="56:56" x14ac:dyDescent="0.35">
      <c r="BD1041" s="15">
        <v>46326</v>
      </c>
    </row>
    <row r="1042" spans="56:56" x14ac:dyDescent="0.35">
      <c r="BD1042" s="15">
        <v>46327</v>
      </c>
    </row>
    <row r="1043" spans="56:56" x14ac:dyDescent="0.35">
      <c r="BD1043" s="15">
        <v>46328</v>
      </c>
    </row>
    <row r="1044" spans="56:56" x14ac:dyDescent="0.35">
      <c r="BD1044" s="15">
        <v>46329</v>
      </c>
    </row>
    <row r="1045" spans="56:56" x14ac:dyDescent="0.35">
      <c r="BD1045" s="15">
        <v>46330</v>
      </c>
    </row>
    <row r="1046" spans="56:56" x14ac:dyDescent="0.35">
      <c r="BD1046" s="15">
        <v>46331</v>
      </c>
    </row>
    <row r="1047" spans="56:56" x14ac:dyDescent="0.35">
      <c r="BD1047" s="15">
        <v>46332</v>
      </c>
    </row>
    <row r="1048" spans="56:56" x14ac:dyDescent="0.35">
      <c r="BD1048" s="15">
        <v>46333</v>
      </c>
    </row>
    <row r="1049" spans="56:56" x14ac:dyDescent="0.35">
      <c r="BD1049" s="15">
        <v>46334</v>
      </c>
    </row>
    <row r="1050" spans="56:56" x14ac:dyDescent="0.35">
      <c r="BD1050" s="15">
        <v>46335</v>
      </c>
    </row>
    <row r="1051" spans="56:56" x14ac:dyDescent="0.35">
      <c r="BD1051" s="15">
        <v>46336</v>
      </c>
    </row>
    <row r="1052" spans="56:56" x14ac:dyDescent="0.35">
      <c r="BD1052" s="15">
        <v>46337</v>
      </c>
    </row>
    <row r="1053" spans="56:56" x14ac:dyDescent="0.35">
      <c r="BD1053" s="15">
        <v>46338</v>
      </c>
    </row>
    <row r="1054" spans="56:56" x14ac:dyDescent="0.35">
      <c r="BD1054" s="15">
        <v>46339</v>
      </c>
    </row>
    <row r="1055" spans="56:56" x14ac:dyDescent="0.35">
      <c r="BD1055" s="15">
        <v>46340</v>
      </c>
    </row>
    <row r="1056" spans="56:56" x14ac:dyDescent="0.35">
      <c r="BD1056" s="15">
        <v>46341</v>
      </c>
    </row>
    <row r="1057" spans="56:56" x14ac:dyDescent="0.35">
      <c r="BD1057" s="15">
        <v>46342</v>
      </c>
    </row>
    <row r="1058" spans="56:56" x14ac:dyDescent="0.35">
      <c r="BD1058" s="15">
        <v>46343</v>
      </c>
    </row>
    <row r="1059" spans="56:56" x14ac:dyDescent="0.35">
      <c r="BD1059" s="15">
        <v>46344</v>
      </c>
    </row>
    <row r="1060" spans="56:56" x14ac:dyDescent="0.35">
      <c r="BD1060" s="15">
        <v>46345</v>
      </c>
    </row>
    <row r="1061" spans="56:56" x14ac:dyDescent="0.35">
      <c r="BD1061" s="15">
        <v>46346</v>
      </c>
    </row>
    <row r="1062" spans="56:56" x14ac:dyDescent="0.35">
      <c r="BD1062" s="15">
        <v>46347</v>
      </c>
    </row>
    <row r="1063" spans="56:56" x14ac:dyDescent="0.35">
      <c r="BD1063" s="15">
        <v>46348</v>
      </c>
    </row>
    <row r="1064" spans="56:56" x14ac:dyDescent="0.35">
      <c r="BD1064" s="15">
        <v>46349</v>
      </c>
    </row>
    <row r="1065" spans="56:56" x14ac:dyDescent="0.35">
      <c r="BD1065" s="15">
        <v>46350</v>
      </c>
    </row>
    <row r="1066" spans="56:56" x14ac:dyDescent="0.35">
      <c r="BD1066" s="15">
        <v>46351</v>
      </c>
    </row>
    <row r="1067" spans="56:56" x14ac:dyDescent="0.35">
      <c r="BD1067" s="15">
        <v>46352</v>
      </c>
    </row>
    <row r="1068" spans="56:56" x14ac:dyDescent="0.35">
      <c r="BD1068" s="15">
        <v>46353</v>
      </c>
    </row>
    <row r="1069" spans="56:56" x14ac:dyDescent="0.35">
      <c r="BD1069" s="15">
        <v>46354</v>
      </c>
    </row>
    <row r="1070" spans="56:56" x14ac:dyDescent="0.35">
      <c r="BD1070" s="15">
        <v>46355</v>
      </c>
    </row>
    <row r="1071" spans="56:56" x14ac:dyDescent="0.35">
      <c r="BD1071" s="15">
        <v>46356</v>
      </c>
    </row>
    <row r="1072" spans="56:56" x14ac:dyDescent="0.35">
      <c r="BD1072" s="15">
        <v>46357</v>
      </c>
    </row>
    <row r="1073" spans="56:56" x14ac:dyDescent="0.35">
      <c r="BD1073" s="15">
        <v>46358</v>
      </c>
    </row>
    <row r="1074" spans="56:56" x14ac:dyDescent="0.35">
      <c r="BD1074" s="15">
        <v>46359</v>
      </c>
    </row>
    <row r="1075" spans="56:56" x14ac:dyDescent="0.35">
      <c r="BD1075" s="15">
        <v>46360</v>
      </c>
    </row>
    <row r="1076" spans="56:56" x14ac:dyDescent="0.35">
      <c r="BD1076" s="15">
        <v>46361</v>
      </c>
    </row>
    <row r="1077" spans="56:56" x14ac:dyDescent="0.35">
      <c r="BD1077" s="15">
        <v>46362</v>
      </c>
    </row>
    <row r="1078" spans="56:56" x14ac:dyDescent="0.35">
      <c r="BD1078" s="15">
        <v>46363</v>
      </c>
    </row>
    <row r="1079" spans="56:56" x14ac:dyDescent="0.35">
      <c r="BD1079" s="15">
        <v>46364</v>
      </c>
    </row>
    <row r="1080" spans="56:56" x14ac:dyDescent="0.35">
      <c r="BD1080" s="15">
        <v>46365</v>
      </c>
    </row>
    <row r="1081" spans="56:56" x14ac:dyDescent="0.35">
      <c r="BD1081" s="15">
        <v>46366</v>
      </c>
    </row>
    <row r="1082" spans="56:56" x14ac:dyDescent="0.35">
      <c r="BD1082" s="15">
        <v>46367</v>
      </c>
    </row>
    <row r="1083" spans="56:56" x14ac:dyDescent="0.35">
      <c r="BD1083" s="15">
        <v>46368</v>
      </c>
    </row>
    <row r="1084" spans="56:56" x14ac:dyDescent="0.35">
      <c r="BD1084" s="15">
        <v>46369</v>
      </c>
    </row>
    <row r="1085" spans="56:56" x14ac:dyDescent="0.35">
      <c r="BD1085" s="15">
        <v>46370</v>
      </c>
    </row>
    <row r="1086" spans="56:56" x14ac:dyDescent="0.35">
      <c r="BD1086" s="15">
        <v>46371</v>
      </c>
    </row>
    <row r="1087" spans="56:56" x14ac:dyDescent="0.35">
      <c r="BD1087" s="15">
        <v>46372</v>
      </c>
    </row>
    <row r="1088" spans="56:56" x14ac:dyDescent="0.35">
      <c r="BD1088" s="15">
        <v>46373</v>
      </c>
    </row>
    <row r="1089" spans="56:56" x14ac:dyDescent="0.35">
      <c r="BD1089" s="15">
        <v>46374</v>
      </c>
    </row>
    <row r="1090" spans="56:56" x14ac:dyDescent="0.35">
      <c r="BD1090" s="15">
        <v>46375</v>
      </c>
    </row>
    <row r="1091" spans="56:56" x14ac:dyDescent="0.35">
      <c r="BD1091" s="15">
        <v>46376</v>
      </c>
    </row>
    <row r="1092" spans="56:56" x14ac:dyDescent="0.35">
      <c r="BD1092" s="15">
        <v>46377</v>
      </c>
    </row>
    <row r="1093" spans="56:56" x14ac:dyDescent="0.35">
      <c r="BD1093" s="15">
        <v>46378</v>
      </c>
    </row>
    <row r="1094" spans="56:56" x14ac:dyDescent="0.35">
      <c r="BD1094" s="15">
        <v>46379</v>
      </c>
    </row>
    <row r="1095" spans="56:56" x14ac:dyDescent="0.35">
      <c r="BD1095" s="15">
        <v>46380</v>
      </c>
    </row>
    <row r="1096" spans="56:56" x14ac:dyDescent="0.35">
      <c r="BD1096" s="15">
        <v>46381</v>
      </c>
    </row>
    <row r="1097" spans="56:56" x14ac:dyDescent="0.35">
      <c r="BD1097" s="15">
        <v>46382</v>
      </c>
    </row>
    <row r="1098" spans="56:56" x14ac:dyDescent="0.35">
      <c r="BD1098" s="15">
        <v>46383</v>
      </c>
    </row>
    <row r="1099" spans="56:56" x14ac:dyDescent="0.35">
      <c r="BD1099" s="15">
        <v>46384</v>
      </c>
    </row>
    <row r="1100" spans="56:56" x14ac:dyDescent="0.35">
      <c r="BD1100" s="15">
        <v>46385</v>
      </c>
    </row>
    <row r="1101" spans="56:56" x14ac:dyDescent="0.35">
      <c r="BD1101" s="15">
        <v>46386</v>
      </c>
    </row>
    <row r="1102" spans="56:56" x14ac:dyDescent="0.35">
      <c r="BD1102" s="15">
        <v>46387</v>
      </c>
    </row>
  </sheetData>
  <mergeCells count="7">
    <mergeCell ref="B23:O23"/>
    <mergeCell ref="B26:O26"/>
    <mergeCell ref="B1:O1"/>
    <mergeCell ref="B3:D3"/>
    <mergeCell ref="B5:O5"/>
    <mergeCell ref="B14:O14"/>
    <mergeCell ref="B16:O16"/>
  </mergeCells>
  <phoneticPr fontId="6" type="noConversion"/>
  <conditionalFormatting sqref="C33:N33">
    <cfRule type="cellIs" dxfId="168" priority="7" operator="lessThan">
      <formula>$E$3</formula>
    </cfRule>
  </conditionalFormatting>
  <conditionalFormatting sqref="C27:O30">
    <cfRule type="cellIs" dxfId="167" priority="4" operator="equal">
      <formula>0</formula>
    </cfRule>
  </conditionalFormatting>
  <conditionalFormatting sqref="C24:O25">
    <cfRule type="cellIs" dxfId="166" priority="3" operator="equal">
      <formula>0</formula>
    </cfRule>
  </conditionalFormatting>
  <conditionalFormatting sqref="C17:O22">
    <cfRule type="cellIs" dxfId="165" priority="2" operator="equal">
      <formula>0</formula>
    </cfRule>
  </conditionalFormatting>
  <conditionalFormatting sqref="C7:O10">
    <cfRule type="cellIs" dxfId="164" priority="1" operator="equal">
      <formula>0</formula>
    </cfRule>
  </conditionalFormatting>
  <pageMargins left="0.25" right="0.25" top="0.75" bottom="0.75" header="0.3" footer="0.3"/>
  <pageSetup paperSize="8" orientation="landscape" r:id="rId1"/>
  <headerFooter>
    <oddHeader>&amp;CKAKPEU   HERMANN    DESIRE&amp;R&amp;G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04" r:id="rId5" name="Button 8">
              <controlPr defaultSize="0" print="0" autoFill="0" autoPict="0" macro="[0]!Button8_Click">
                <anchor moveWithCells="1" sizeWithCells="1">
                  <from>
                    <xdr:col>5</xdr:col>
                    <xdr:colOff>825500</xdr:colOff>
                    <xdr:row>1</xdr:row>
                    <xdr:rowOff>76200</xdr:rowOff>
                  </from>
                  <to>
                    <xdr:col>8</xdr:col>
                    <xdr:colOff>622300</xdr:colOff>
                    <xdr:row>3</xdr:row>
                    <xdr:rowOff>101600</xdr:rowOff>
                  </to>
                </anchor>
              </controlPr>
            </control>
          </mc:Choice>
        </mc:AlternateContent>
        <mc:AlternateContent xmlns:mc="http://schemas.openxmlformats.org/markup-compatibility/2006">
          <mc:Choice Requires="x14">
            <control shapeId="4105" r:id="rId6" name="Button 9">
              <controlPr defaultSize="0" print="0" autoFill="0" autoPict="0" macro="[0]!Button9_Click">
                <anchor moveWithCells="1" sizeWithCells="1">
                  <from>
                    <xdr:col>10</xdr:col>
                    <xdr:colOff>368300</xdr:colOff>
                    <xdr:row>1</xdr:row>
                    <xdr:rowOff>44450</xdr:rowOff>
                  </from>
                  <to>
                    <xdr:col>13</xdr:col>
                    <xdr:colOff>12700</xdr:colOff>
                    <xdr:row>3</xdr:row>
                    <xdr:rowOff>114300</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283D-4122-4349-BDB5-6B3B31F3762D}">
  <sheetPr codeName="Sheet3"/>
  <dimension ref="A4:H59"/>
  <sheetViews>
    <sheetView view="pageLayout" topLeftCell="A6" zoomScale="84" zoomScaleNormal="100" zoomScalePageLayoutView="84" workbookViewId="0">
      <selection activeCell="G12" sqref="G12"/>
    </sheetView>
  </sheetViews>
  <sheetFormatPr defaultRowHeight="14.5" x14ac:dyDescent="0.35"/>
  <cols>
    <col min="1" max="1" width="9.90625" customWidth="1"/>
    <col min="2" max="2" width="8.81640625" bestFit="1" customWidth="1"/>
    <col min="3" max="3" width="14.90625" customWidth="1"/>
    <col min="4" max="4" width="41" customWidth="1"/>
    <col min="5" max="5" width="15.26953125" bestFit="1" customWidth="1"/>
    <col min="6" max="6" width="16.08984375" bestFit="1" customWidth="1"/>
    <col min="7" max="7" width="16.26953125" customWidth="1"/>
  </cols>
  <sheetData>
    <row r="4" spans="1:8" ht="16" x14ac:dyDescent="0.4">
      <c r="A4" s="31" t="s">
        <v>32</v>
      </c>
      <c r="B4" s="31" t="s">
        <v>51</v>
      </c>
      <c r="C4" s="31" t="s">
        <v>33</v>
      </c>
      <c r="D4" s="32" t="s">
        <v>34</v>
      </c>
      <c r="E4" s="31" t="s">
        <v>35</v>
      </c>
      <c r="F4" s="33" t="s">
        <v>49</v>
      </c>
      <c r="G4" s="41" t="s">
        <v>53</v>
      </c>
      <c r="H4" s="41" t="s">
        <v>143</v>
      </c>
    </row>
    <row r="5" spans="1:8" ht="16" x14ac:dyDescent="0.4">
      <c r="A5" s="30">
        <v>45292</v>
      </c>
      <c r="B5" s="34">
        <v>1</v>
      </c>
      <c r="C5" s="35" t="s">
        <v>17</v>
      </c>
      <c r="D5" s="36"/>
      <c r="E5" s="35">
        <v>10000</v>
      </c>
      <c r="F5" s="36"/>
      <c r="G5" s="36" t="str" cm="1">
        <f t="array" ref="G5">_xlfn.IFS(revenuXYZ[[#This Row],[categorie]]="Salaire","Banque",revenuXYZ[[#This Row],[categorie]]="Don","Portefeuille",revenuXYZ[[#This Row],[categorie]]="Freelancing","Banque",revenuXYZ[[#This Row],[categorie]]="Autres","Portefeuille")</f>
        <v>Banque</v>
      </c>
      <c r="H5" s="36">
        <v>1</v>
      </c>
    </row>
    <row r="6" spans="1:8" ht="16" x14ac:dyDescent="0.4">
      <c r="A6" s="30">
        <v>45293</v>
      </c>
      <c r="B6" s="34">
        <v>1</v>
      </c>
      <c r="C6" s="35" t="s">
        <v>36</v>
      </c>
      <c r="D6" s="36"/>
      <c r="E6" s="35">
        <v>700</v>
      </c>
      <c r="F6" s="36"/>
      <c r="G6" s="36" t="str" cm="1">
        <f t="array" ref="G6">_xlfn.IFS(revenuXYZ[[#This Row],[categorie]]="Salaire","Banque",revenuXYZ[[#This Row],[categorie]]="Don","Portefeuille",revenuXYZ[[#This Row],[categorie]]="Freelancing","Banque",revenuXYZ[[#This Row],[categorie]]="Autres","Portefeuille")</f>
        <v>Portefeuille</v>
      </c>
      <c r="H6" s="36">
        <v>2</v>
      </c>
    </row>
    <row r="7" spans="1:8" ht="16" x14ac:dyDescent="0.4">
      <c r="A7" s="30">
        <v>45294</v>
      </c>
      <c r="B7" s="34">
        <v>1</v>
      </c>
      <c r="C7" s="35" t="s">
        <v>19</v>
      </c>
      <c r="D7" s="36"/>
      <c r="E7" s="35">
        <v>1000</v>
      </c>
      <c r="F7" s="36"/>
      <c r="G7" s="36" t="str" cm="1">
        <f t="array" ref="G7">_xlfn.IFS(revenuXYZ[[#This Row],[categorie]]="Salaire","Banque",revenuXYZ[[#This Row],[categorie]]="Don","Portefeuille",revenuXYZ[[#This Row],[categorie]]="Freelancing","Banque",revenuXYZ[[#This Row],[categorie]]="Autres","Portefeuille")</f>
        <v>Portefeuille</v>
      </c>
      <c r="H7" s="36">
        <v>3</v>
      </c>
    </row>
    <row r="8" spans="1:8" ht="16" x14ac:dyDescent="0.4">
      <c r="A8" s="30">
        <v>45295</v>
      </c>
      <c r="B8" s="34">
        <v>1</v>
      </c>
      <c r="C8" s="35" t="s">
        <v>18</v>
      </c>
      <c r="D8" s="36"/>
      <c r="E8" s="35">
        <v>1500</v>
      </c>
      <c r="F8" s="36"/>
      <c r="G8" s="36" t="str" cm="1">
        <f t="array" ref="G8">_xlfn.IFS(revenuXYZ[[#This Row],[categorie]]="Salaire","Banque",revenuXYZ[[#This Row],[categorie]]="Don","Portefeuille",revenuXYZ[[#This Row],[categorie]]="Freelancing","Banque",revenuXYZ[[#This Row],[categorie]]="Autres","Portefeuille")</f>
        <v>Banque</v>
      </c>
      <c r="H8" s="36">
        <v>4</v>
      </c>
    </row>
    <row r="9" spans="1:8" ht="16" x14ac:dyDescent="0.4">
      <c r="A9" s="30">
        <v>45296</v>
      </c>
      <c r="B9" s="34">
        <v>1</v>
      </c>
      <c r="C9" s="35" t="s">
        <v>18</v>
      </c>
      <c r="D9" s="36"/>
      <c r="E9" s="35">
        <v>400</v>
      </c>
      <c r="F9" s="36"/>
      <c r="G9" s="36" t="str" cm="1">
        <f t="array" ref="G9">_xlfn.IFS(revenuXYZ[[#This Row],[categorie]]="Salaire","Banque",revenuXYZ[[#This Row],[categorie]]="Don","Portefeuille",revenuXYZ[[#This Row],[categorie]]="Freelancing","Banque",revenuXYZ[[#This Row],[categorie]]="Autres","Portefeuille")</f>
        <v>Banque</v>
      </c>
      <c r="H9" s="36">
        <v>5</v>
      </c>
    </row>
    <row r="10" spans="1:8" ht="16" x14ac:dyDescent="0.4">
      <c r="A10" s="30">
        <v>45297</v>
      </c>
      <c r="B10" s="34">
        <v>1</v>
      </c>
      <c r="C10" s="35" t="s">
        <v>36</v>
      </c>
      <c r="D10" s="36"/>
      <c r="E10" s="35">
        <v>200</v>
      </c>
      <c r="F10" s="36"/>
      <c r="G10" s="36" t="str" cm="1">
        <f t="array" ref="G10">_xlfn.IFS(revenuXYZ[[#This Row],[categorie]]="Salaire","Banque",revenuXYZ[[#This Row],[categorie]]="Don","Portefeuille",revenuXYZ[[#This Row],[categorie]]="Freelancing","Banque",revenuXYZ[[#This Row],[categorie]]="Autres","Portefeuille")</f>
        <v>Portefeuille</v>
      </c>
      <c r="H10" s="36">
        <v>6</v>
      </c>
    </row>
    <row r="11" spans="1:8" ht="16" x14ac:dyDescent="0.4">
      <c r="A11" s="30">
        <v>45298</v>
      </c>
      <c r="B11" s="34">
        <v>1</v>
      </c>
      <c r="C11" s="35" t="s">
        <v>18</v>
      </c>
      <c r="D11" s="36"/>
      <c r="E11" s="35">
        <v>800</v>
      </c>
      <c r="F11" s="36"/>
      <c r="G11" s="36" t="str" cm="1">
        <f t="array" ref="G11">_xlfn.IFS(revenuXYZ[[#This Row],[categorie]]="Salaire","Banque",revenuXYZ[[#This Row],[categorie]]="Don","Portefeuille",revenuXYZ[[#This Row],[categorie]]="Freelancing","Banque",revenuXYZ[[#This Row],[categorie]]="Autres","Portefeuille")</f>
        <v>Banque</v>
      </c>
      <c r="H11" s="36">
        <v>7</v>
      </c>
    </row>
    <row r="12" spans="1:8" ht="16" x14ac:dyDescent="0.4">
      <c r="A12" s="30">
        <v>45323</v>
      </c>
      <c r="B12" s="34">
        <v>2</v>
      </c>
      <c r="C12" s="35" t="s">
        <v>17</v>
      </c>
      <c r="D12" s="36"/>
      <c r="E12" s="35">
        <v>10000</v>
      </c>
      <c r="F12" s="36"/>
      <c r="G12" s="36" t="str" cm="1">
        <f t="array" ref="G12">_xlfn.IFS(revenuXYZ[[#This Row],[categorie]]="Salaire","Banque",revenuXYZ[[#This Row],[categorie]]="Don","Portefeuille",revenuXYZ[[#This Row],[categorie]]="Freelancing","Banque",revenuXYZ[[#This Row],[categorie]]="Autres","Portefeuille")</f>
        <v>Banque</v>
      </c>
      <c r="H12" s="36">
        <v>8</v>
      </c>
    </row>
    <row r="13" spans="1:8" ht="16" x14ac:dyDescent="0.4">
      <c r="A13" s="30">
        <v>45324</v>
      </c>
      <c r="B13" s="34">
        <v>2</v>
      </c>
      <c r="C13" s="35" t="s">
        <v>18</v>
      </c>
      <c r="D13" s="36"/>
      <c r="E13" s="35">
        <v>1000</v>
      </c>
      <c r="F13" s="36"/>
      <c r="G13" s="36" t="str" cm="1">
        <f t="array" ref="G13">_xlfn.IFS(revenuXYZ[[#This Row],[categorie]]="Salaire","Banque",revenuXYZ[[#This Row],[categorie]]="Don","Portefeuille",revenuXYZ[[#This Row],[categorie]]="Freelancing","Banque",revenuXYZ[[#This Row],[categorie]]="Autres","Portefeuille")</f>
        <v>Banque</v>
      </c>
      <c r="H13" s="36">
        <v>9</v>
      </c>
    </row>
    <row r="14" spans="1:8" ht="16" x14ac:dyDescent="0.4">
      <c r="A14" s="30">
        <v>45325</v>
      </c>
      <c r="B14" s="34">
        <v>2</v>
      </c>
      <c r="C14" s="35" t="s">
        <v>18</v>
      </c>
      <c r="D14" s="36"/>
      <c r="E14" s="35">
        <v>400</v>
      </c>
      <c r="F14" s="36"/>
      <c r="G14" s="36" t="str" cm="1">
        <f t="array" ref="G14">_xlfn.IFS(revenuXYZ[[#This Row],[categorie]]="Salaire","Banque",revenuXYZ[[#This Row],[categorie]]="Don","Portefeuille",revenuXYZ[[#This Row],[categorie]]="Freelancing","Banque",revenuXYZ[[#This Row],[categorie]]="Autres","Portefeuille")</f>
        <v>Banque</v>
      </c>
      <c r="H14" s="36">
        <v>10</v>
      </c>
    </row>
    <row r="15" spans="1:8" ht="16" x14ac:dyDescent="0.4">
      <c r="A15" s="30">
        <v>45326</v>
      </c>
      <c r="B15" s="34">
        <v>2</v>
      </c>
      <c r="C15" s="35" t="s">
        <v>36</v>
      </c>
      <c r="D15" s="36"/>
      <c r="E15" s="35">
        <v>300</v>
      </c>
      <c r="F15" s="36"/>
      <c r="G15" s="36" t="str" cm="1">
        <f t="array" ref="G15">_xlfn.IFS(revenuXYZ[[#This Row],[categorie]]="Salaire","Banque",revenuXYZ[[#This Row],[categorie]]="Don","Portefeuille",revenuXYZ[[#This Row],[categorie]]="Freelancing","Banque",revenuXYZ[[#This Row],[categorie]]="Autres","Portefeuille")</f>
        <v>Portefeuille</v>
      </c>
      <c r="H15" s="36">
        <v>11</v>
      </c>
    </row>
    <row r="16" spans="1:8" ht="16" x14ac:dyDescent="0.4">
      <c r="A16" s="30">
        <v>45327</v>
      </c>
      <c r="B16" s="34">
        <v>2</v>
      </c>
      <c r="C16" s="35" t="s">
        <v>18</v>
      </c>
      <c r="D16" s="36"/>
      <c r="E16" s="35">
        <v>450</v>
      </c>
      <c r="F16" s="36"/>
      <c r="G16" s="36" t="str" cm="1">
        <f t="array" ref="G16">_xlfn.IFS(revenuXYZ[[#This Row],[categorie]]="Salaire","Banque",revenuXYZ[[#This Row],[categorie]]="Don","Portefeuille",revenuXYZ[[#This Row],[categorie]]="Freelancing","Banque",revenuXYZ[[#This Row],[categorie]]="Autres","Portefeuille")</f>
        <v>Banque</v>
      </c>
      <c r="H16" s="36">
        <v>12</v>
      </c>
    </row>
    <row r="17" spans="1:8" ht="16" x14ac:dyDescent="0.4">
      <c r="A17" s="30">
        <v>45352</v>
      </c>
      <c r="B17" s="34">
        <v>3</v>
      </c>
      <c r="C17" s="35" t="s">
        <v>17</v>
      </c>
      <c r="D17" s="36"/>
      <c r="E17" s="35">
        <v>10200</v>
      </c>
      <c r="F17" s="36"/>
      <c r="G17" s="36" t="str" cm="1">
        <f t="array" ref="G17">_xlfn.IFS(revenuXYZ[[#This Row],[categorie]]="Salaire","Banque",revenuXYZ[[#This Row],[categorie]]="Don","Portefeuille",revenuXYZ[[#This Row],[categorie]]="Freelancing","Banque",revenuXYZ[[#This Row],[categorie]]="Autres","Portefeuille")</f>
        <v>Banque</v>
      </c>
      <c r="H17" s="36">
        <v>13</v>
      </c>
    </row>
    <row r="18" spans="1:8" ht="16" x14ac:dyDescent="0.4">
      <c r="A18" s="30">
        <v>45353</v>
      </c>
      <c r="B18" s="34">
        <v>3</v>
      </c>
      <c r="C18" s="35" t="s">
        <v>18</v>
      </c>
      <c r="D18" s="36"/>
      <c r="E18" s="35">
        <v>1300</v>
      </c>
      <c r="F18" s="36"/>
      <c r="G18" s="36" t="str" cm="1">
        <f t="array" ref="G18">_xlfn.IFS(revenuXYZ[[#This Row],[categorie]]="Salaire","Banque",revenuXYZ[[#This Row],[categorie]]="Don","Portefeuille",revenuXYZ[[#This Row],[categorie]]="Freelancing","Banque",revenuXYZ[[#This Row],[categorie]]="Autres","Portefeuille")</f>
        <v>Banque</v>
      </c>
      <c r="H18" s="36">
        <v>14</v>
      </c>
    </row>
    <row r="19" spans="1:8" ht="16" x14ac:dyDescent="0.4">
      <c r="A19" s="30">
        <v>45354</v>
      </c>
      <c r="B19" s="34">
        <v>3</v>
      </c>
      <c r="C19" s="35" t="s">
        <v>18</v>
      </c>
      <c r="D19" s="36"/>
      <c r="E19" s="35">
        <v>1000</v>
      </c>
      <c r="F19" s="36"/>
      <c r="G19" s="36" t="str" cm="1">
        <f t="array" ref="G19">_xlfn.IFS(revenuXYZ[[#This Row],[categorie]]="Salaire","Banque",revenuXYZ[[#This Row],[categorie]]="Don","Portefeuille",revenuXYZ[[#This Row],[categorie]]="Freelancing","Banque",revenuXYZ[[#This Row],[categorie]]="Autres","Portefeuille")</f>
        <v>Banque</v>
      </c>
      <c r="H19" s="36">
        <v>15</v>
      </c>
    </row>
    <row r="20" spans="1:8" ht="16" x14ac:dyDescent="0.4">
      <c r="A20" s="30">
        <v>45383</v>
      </c>
      <c r="B20" s="34">
        <v>4</v>
      </c>
      <c r="C20" s="35" t="s">
        <v>17</v>
      </c>
      <c r="D20" s="36"/>
      <c r="E20" s="35">
        <v>10100</v>
      </c>
      <c r="F20" s="36"/>
      <c r="G20" s="36" t="str" cm="1">
        <f t="array" ref="G20">_xlfn.IFS(revenuXYZ[[#This Row],[categorie]]="Salaire","Banque",revenuXYZ[[#This Row],[categorie]]="Don","Portefeuille",revenuXYZ[[#This Row],[categorie]]="Freelancing","Banque",revenuXYZ[[#This Row],[categorie]]="Autres","Portefeuille")</f>
        <v>Banque</v>
      </c>
      <c r="H20" s="36">
        <v>16</v>
      </c>
    </row>
    <row r="21" spans="1:8" ht="16" x14ac:dyDescent="0.4">
      <c r="A21" s="30">
        <v>45404</v>
      </c>
      <c r="B21" s="34">
        <v>4</v>
      </c>
      <c r="C21" s="35" t="s">
        <v>36</v>
      </c>
      <c r="D21" s="36"/>
      <c r="E21" s="35">
        <v>550</v>
      </c>
      <c r="F21" s="36"/>
      <c r="G21" s="36" t="str" cm="1">
        <f t="array" ref="G21">_xlfn.IFS(revenuXYZ[[#This Row],[categorie]]="Salaire","Banque",revenuXYZ[[#This Row],[categorie]]="Don","Portefeuille",revenuXYZ[[#This Row],[categorie]]="Freelancing","Banque",revenuXYZ[[#This Row],[categorie]]="Autres","Portefeuille")</f>
        <v>Portefeuille</v>
      </c>
      <c r="H21" s="36">
        <v>17</v>
      </c>
    </row>
    <row r="22" spans="1:8" ht="16" x14ac:dyDescent="0.4">
      <c r="A22" s="30">
        <v>45431</v>
      </c>
      <c r="B22" s="34">
        <v>5</v>
      </c>
      <c r="C22" s="35" t="s">
        <v>18</v>
      </c>
      <c r="D22" s="36"/>
      <c r="E22" s="35">
        <v>100</v>
      </c>
      <c r="F22" s="36"/>
      <c r="G22" s="36" t="str" cm="1">
        <f t="array" ref="G22">_xlfn.IFS(revenuXYZ[[#This Row],[categorie]]="Salaire","Banque",revenuXYZ[[#This Row],[categorie]]="Don","Portefeuille",revenuXYZ[[#This Row],[categorie]]="Freelancing","Banque",revenuXYZ[[#This Row],[categorie]]="Autres","Portefeuille")</f>
        <v>Banque</v>
      </c>
      <c r="H22" s="36">
        <v>18</v>
      </c>
    </row>
    <row r="23" spans="1:8" ht="16" x14ac:dyDescent="0.4">
      <c r="A23" s="30">
        <v>45473</v>
      </c>
      <c r="B23" s="34">
        <v>6</v>
      </c>
      <c r="C23" s="35" t="s">
        <v>36</v>
      </c>
      <c r="D23" s="36"/>
      <c r="E23" s="35">
        <v>240</v>
      </c>
      <c r="F23" s="36"/>
      <c r="G23" s="36" t="str" cm="1">
        <f t="array" ref="G23">_xlfn.IFS(revenuXYZ[[#This Row],[categorie]]="Salaire","Banque",revenuXYZ[[#This Row],[categorie]]="Don","Portefeuille",revenuXYZ[[#This Row],[categorie]]="Freelancing","Banque",revenuXYZ[[#This Row],[categorie]]="Autres","Portefeuille")</f>
        <v>Portefeuille</v>
      </c>
      <c r="H23" s="36">
        <v>19</v>
      </c>
    </row>
    <row r="24" spans="1:8" ht="16" x14ac:dyDescent="0.4">
      <c r="A24" s="30">
        <v>45474</v>
      </c>
      <c r="B24" s="34">
        <v>7</v>
      </c>
      <c r="C24" s="35" t="s">
        <v>17</v>
      </c>
      <c r="D24" s="36"/>
      <c r="E24" s="35">
        <v>12500</v>
      </c>
      <c r="F24" s="36"/>
      <c r="G24" s="36" t="str" cm="1">
        <f t="array" ref="G24">_xlfn.IFS(revenuXYZ[[#This Row],[categorie]]="Salaire","Banque",revenuXYZ[[#This Row],[categorie]]="Don","Portefeuille",revenuXYZ[[#This Row],[categorie]]="Freelancing","Banque",revenuXYZ[[#This Row],[categorie]]="Autres","Portefeuille")</f>
        <v>Banque</v>
      </c>
      <c r="H24" s="36">
        <v>20</v>
      </c>
    </row>
    <row r="25" spans="1:8" ht="16" x14ac:dyDescent="0.4">
      <c r="A25" s="30">
        <v>45475</v>
      </c>
      <c r="B25" s="34">
        <v>7</v>
      </c>
      <c r="C25" s="35" t="s">
        <v>18</v>
      </c>
      <c r="D25" s="36"/>
      <c r="E25" s="35">
        <v>1350</v>
      </c>
      <c r="F25" s="36"/>
      <c r="G25" s="36" t="str" cm="1">
        <f t="array" ref="G25">_xlfn.IFS(revenuXYZ[[#This Row],[categorie]]="Salaire","Banque",revenuXYZ[[#This Row],[categorie]]="Don","Portefeuille",revenuXYZ[[#This Row],[categorie]]="Freelancing","Banque",revenuXYZ[[#This Row],[categorie]]="Autres","Portefeuille")</f>
        <v>Banque</v>
      </c>
      <c r="H25" s="36">
        <v>21</v>
      </c>
    </row>
    <row r="26" spans="1:8" ht="16" x14ac:dyDescent="0.4">
      <c r="A26" s="30">
        <v>45488</v>
      </c>
      <c r="B26" s="34">
        <v>7</v>
      </c>
      <c r="C26" s="35" t="s">
        <v>18</v>
      </c>
      <c r="D26" s="36"/>
      <c r="E26" s="35">
        <v>1000</v>
      </c>
      <c r="F26" s="36"/>
      <c r="G26" s="36" t="str" cm="1">
        <f t="array" ref="G26">_xlfn.IFS(revenuXYZ[[#This Row],[categorie]]="Salaire","Banque",revenuXYZ[[#This Row],[categorie]]="Don","Portefeuille",revenuXYZ[[#This Row],[categorie]]="Freelancing","Banque",revenuXYZ[[#This Row],[categorie]]="Autres","Portefeuille")</f>
        <v>Banque</v>
      </c>
      <c r="H26" s="36">
        <v>22</v>
      </c>
    </row>
    <row r="27" spans="1:8" ht="16" x14ac:dyDescent="0.4">
      <c r="A27" s="30">
        <v>45489</v>
      </c>
      <c r="B27" s="34">
        <v>7</v>
      </c>
      <c r="C27" s="35" t="s">
        <v>18</v>
      </c>
      <c r="D27" s="36"/>
      <c r="E27" s="35">
        <v>1200</v>
      </c>
      <c r="F27" s="36"/>
      <c r="G27" s="36" t="str" cm="1">
        <f t="array" ref="G27">_xlfn.IFS(revenuXYZ[[#This Row],[categorie]]="Salaire","Banque",revenuXYZ[[#This Row],[categorie]]="Don","Portefeuille",revenuXYZ[[#This Row],[categorie]]="Freelancing","Banque",revenuXYZ[[#This Row],[categorie]]="Autres","Portefeuille")</f>
        <v>Banque</v>
      </c>
      <c r="H27" s="36">
        <v>23</v>
      </c>
    </row>
    <row r="28" spans="1:8" ht="16" x14ac:dyDescent="0.4">
      <c r="A28" s="30">
        <v>45490</v>
      </c>
      <c r="B28" s="34">
        <v>7</v>
      </c>
      <c r="C28" s="35" t="s">
        <v>36</v>
      </c>
      <c r="D28" s="36"/>
      <c r="E28" s="35">
        <v>430</v>
      </c>
      <c r="F28" s="36"/>
      <c r="G28" s="36" t="str" cm="1">
        <f t="array" ref="G28">_xlfn.IFS(revenuXYZ[[#This Row],[categorie]]="Salaire","Banque",revenuXYZ[[#This Row],[categorie]]="Don","Portefeuille",revenuXYZ[[#This Row],[categorie]]="Freelancing","Banque",revenuXYZ[[#This Row],[categorie]]="Autres","Portefeuille")</f>
        <v>Portefeuille</v>
      </c>
      <c r="H28" s="36">
        <v>24</v>
      </c>
    </row>
    <row r="29" spans="1:8" ht="16" x14ac:dyDescent="0.4">
      <c r="A29" s="30">
        <v>45483</v>
      </c>
      <c r="B29" s="34">
        <v>7</v>
      </c>
      <c r="C29" s="35" t="s">
        <v>18</v>
      </c>
      <c r="D29" s="36"/>
      <c r="E29" s="35">
        <v>2000</v>
      </c>
      <c r="F29" s="36"/>
      <c r="G29" s="36" t="str" cm="1">
        <f t="array" ref="G29">_xlfn.IFS(revenuXYZ[[#This Row],[categorie]]="Salaire","Banque",revenuXYZ[[#This Row],[categorie]]="Don","Portefeuille",revenuXYZ[[#This Row],[categorie]]="Freelancing","Banque",revenuXYZ[[#This Row],[categorie]]="Autres","Portefeuille")</f>
        <v>Banque</v>
      </c>
      <c r="H29" s="36">
        <v>25</v>
      </c>
    </row>
    <row r="30" spans="1:8" ht="16" x14ac:dyDescent="0.4">
      <c r="A30" s="30">
        <v>45484</v>
      </c>
      <c r="B30" s="34">
        <v>7</v>
      </c>
      <c r="C30" s="35" t="s">
        <v>36</v>
      </c>
      <c r="D30" s="36" t="s">
        <v>58</v>
      </c>
      <c r="E30" s="35">
        <v>230</v>
      </c>
      <c r="F30" s="36"/>
      <c r="G30" s="36" t="str" cm="1">
        <f t="array" ref="G30">_xlfn.IFS(revenuXYZ[[#This Row],[categorie]]="Salaire","Banque",revenuXYZ[[#This Row],[categorie]]="Don","Portefeuille",revenuXYZ[[#This Row],[categorie]]="Freelancing","Banque",revenuXYZ[[#This Row],[categorie]]="Autres","Portefeuille")</f>
        <v>Portefeuille</v>
      </c>
      <c r="H30" s="36">
        <v>26</v>
      </c>
    </row>
    <row r="31" spans="1:8" ht="16" x14ac:dyDescent="0.4">
      <c r="A31" s="30">
        <v>45326</v>
      </c>
      <c r="B31" s="34">
        <v>2</v>
      </c>
      <c r="C31" s="35" t="s">
        <v>36</v>
      </c>
      <c r="D31" s="36"/>
      <c r="E31" s="35">
        <v>344</v>
      </c>
      <c r="F31" s="36"/>
      <c r="G31" s="36" t="str" cm="1">
        <f t="array" ref="G31">_xlfn.IFS(revenuXYZ[[#This Row],[categorie]]="Salaire","Banque",revenuXYZ[[#This Row],[categorie]]="Don","Portefeuille",revenuXYZ[[#This Row],[categorie]]="Freelancing","Banque",revenuXYZ[[#This Row],[categorie]]="Autres","Portefeuille")</f>
        <v>Portefeuille</v>
      </c>
      <c r="H31" s="36">
        <v>27</v>
      </c>
    </row>
    <row r="32" spans="1:8" ht="16" x14ac:dyDescent="0.4">
      <c r="A32" s="30">
        <v>45483</v>
      </c>
      <c r="B32" s="34">
        <v>7</v>
      </c>
      <c r="C32" s="35" t="s">
        <v>17</v>
      </c>
      <c r="D32" s="36"/>
      <c r="E32" s="35">
        <v>2000</v>
      </c>
      <c r="F32" s="36"/>
      <c r="G32" s="36" t="str" cm="1">
        <f t="array" ref="G32">_xlfn.IFS(revenuXYZ[[#This Row],[categorie]]="Salaire","Banque",revenuXYZ[[#This Row],[categorie]]="Don","Portefeuille",revenuXYZ[[#This Row],[categorie]]="Freelancing","Banque",revenuXYZ[[#This Row],[categorie]]="Autres","Portefeuille")</f>
        <v>Banque</v>
      </c>
      <c r="H32" s="36">
        <v>28</v>
      </c>
    </row>
    <row r="33" spans="1:8" ht="16" x14ac:dyDescent="0.4">
      <c r="A33" s="30">
        <v>45483</v>
      </c>
      <c r="B33" s="34">
        <v>7</v>
      </c>
      <c r="C33" s="35" t="s">
        <v>18</v>
      </c>
      <c r="D33" s="36" t="s">
        <v>59</v>
      </c>
      <c r="E33" s="35">
        <v>3211</v>
      </c>
      <c r="F33" s="36"/>
      <c r="G33" s="36" t="str" cm="1">
        <f t="array" ref="G33">_xlfn.IFS(revenuXYZ[[#This Row],[categorie]]="Salaire","Banque",revenuXYZ[[#This Row],[categorie]]="Don","Portefeuille",revenuXYZ[[#This Row],[categorie]]="Freelancing","Banque",revenuXYZ[[#This Row],[categorie]]="Autres","Portefeuille")</f>
        <v>Banque</v>
      </c>
      <c r="H33" s="36">
        <v>29</v>
      </c>
    </row>
    <row r="34" spans="1:8" ht="16" x14ac:dyDescent="0.4">
      <c r="A34" s="30">
        <v>45483</v>
      </c>
      <c r="B34" s="34">
        <v>7</v>
      </c>
      <c r="C34" s="35" t="s">
        <v>17</v>
      </c>
      <c r="D34" s="36" t="s">
        <v>60</v>
      </c>
      <c r="E34" s="35">
        <v>10000</v>
      </c>
      <c r="F34" s="36"/>
      <c r="G34" s="36" t="str" cm="1">
        <f t="array" ref="G34">_xlfn.IFS(revenuXYZ[[#This Row],[categorie]]="Salaire","Banque",revenuXYZ[[#This Row],[categorie]]="Don","Portefeuille",revenuXYZ[[#This Row],[categorie]]="Freelancing","Banque",revenuXYZ[[#This Row],[categorie]]="Autres","Portefeuille")</f>
        <v>Banque</v>
      </c>
      <c r="H34" s="36">
        <v>30</v>
      </c>
    </row>
    <row r="35" spans="1:8" ht="16" x14ac:dyDescent="0.4">
      <c r="A35" s="30">
        <v>45575</v>
      </c>
      <c r="B35" s="34">
        <v>10</v>
      </c>
      <c r="C35" s="35" t="s">
        <v>36</v>
      </c>
      <c r="D35" s="36" t="s">
        <v>61</v>
      </c>
      <c r="E35" s="35">
        <v>120</v>
      </c>
      <c r="F35" s="36"/>
      <c r="G35" s="36" t="str" cm="1">
        <f t="array" ref="G35">_xlfn.IFS(revenuXYZ[[#This Row],[categorie]]="Salaire","Banque",revenuXYZ[[#This Row],[categorie]]="Don","Portefeuille",revenuXYZ[[#This Row],[categorie]]="Freelancing","Banque",revenuXYZ[[#This Row],[categorie]]="Autres","Portefeuille")</f>
        <v>Portefeuille</v>
      </c>
      <c r="H35" s="36">
        <v>31</v>
      </c>
    </row>
    <row r="36" spans="1:8" ht="16" x14ac:dyDescent="0.4">
      <c r="A36" s="30">
        <v>45484</v>
      </c>
      <c r="B36" s="34">
        <v>7</v>
      </c>
      <c r="C36" s="35" t="s">
        <v>18</v>
      </c>
      <c r="D36" s="36" t="s">
        <v>18</v>
      </c>
      <c r="E36" s="35">
        <v>2000</v>
      </c>
      <c r="F36" s="36"/>
      <c r="G36" s="36" t="str" cm="1">
        <f t="array" ref="G36">_xlfn.IFS(revenuXYZ[[#This Row],[categorie]]="Salaire","Banque",revenuXYZ[[#This Row],[categorie]]="Don","Portefeuille",revenuXYZ[[#This Row],[categorie]]="Freelancing","Banque",revenuXYZ[[#This Row],[categorie]]="Autres","Portefeuille")</f>
        <v>Banque</v>
      </c>
      <c r="H36" s="36">
        <v>32</v>
      </c>
    </row>
    <row r="37" spans="1:8" ht="16" x14ac:dyDescent="0.4">
      <c r="A37" s="30">
        <v>45573</v>
      </c>
      <c r="B37" s="34">
        <v>10</v>
      </c>
      <c r="C37" s="35" t="s">
        <v>36</v>
      </c>
      <c r="D37" s="36" t="s">
        <v>62</v>
      </c>
      <c r="E37" s="35">
        <v>3200</v>
      </c>
      <c r="F37" s="36"/>
      <c r="G37" s="36" t="str" cm="1">
        <f t="array" ref="G37">_xlfn.IFS(revenuXYZ[[#This Row],[categorie]]="Salaire","Banque",revenuXYZ[[#This Row],[categorie]]="Don","Portefeuille",revenuXYZ[[#This Row],[categorie]]="Freelancing","Banque",revenuXYZ[[#This Row],[categorie]]="Autres","Portefeuille")</f>
        <v>Portefeuille</v>
      </c>
      <c r="H37" s="36">
        <v>33</v>
      </c>
    </row>
    <row r="38" spans="1:8" ht="16" x14ac:dyDescent="0.4">
      <c r="A38" s="30">
        <v>45573</v>
      </c>
      <c r="B38" s="34">
        <v>10</v>
      </c>
      <c r="C38" s="35" t="s">
        <v>36</v>
      </c>
      <c r="D38" s="36" t="s">
        <v>63</v>
      </c>
      <c r="E38" s="35">
        <v>320</v>
      </c>
      <c r="F38" s="36"/>
      <c r="G38" s="36" t="str" cm="1">
        <f t="array" ref="G38">_xlfn.IFS(revenuXYZ[[#This Row],[categorie]]="Salaire","Banque",revenuXYZ[[#This Row],[categorie]]="Don","Portefeuille",revenuXYZ[[#This Row],[categorie]]="Freelancing","Banque",revenuXYZ[[#This Row],[categorie]]="Autres","Portefeuille")</f>
        <v>Portefeuille</v>
      </c>
      <c r="H38" s="36">
        <v>34</v>
      </c>
    </row>
    <row r="39" spans="1:8" ht="16" x14ac:dyDescent="0.4">
      <c r="A39" s="30">
        <v>45546</v>
      </c>
      <c r="B39" s="34">
        <v>9</v>
      </c>
      <c r="C39" s="35" t="s">
        <v>17</v>
      </c>
      <c r="D39" s="36" t="s">
        <v>64</v>
      </c>
      <c r="E39" s="35">
        <v>13000</v>
      </c>
      <c r="F39" s="36">
        <v>780000</v>
      </c>
      <c r="G39" s="36" t="str" cm="1">
        <f t="array" ref="G39">_xlfn.IFS(revenuXYZ[[#This Row],[categorie]]="Salaire","Banque",revenuXYZ[[#This Row],[categorie]]="Don","Portefeuille",revenuXYZ[[#This Row],[categorie]]="Freelancing","Banque",revenuXYZ[[#This Row],[categorie]]="Autres","Portefeuille")</f>
        <v>Banque</v>
      </c>
      <c r="H39" s="36">
        <v>35</v>
      </c>
    </row>
    <row r="40" spans="1:8" ht="16" x14ac:dyDescent="0.4">
      <c r="A40" s="30">
        <v>45637</v>
      </c>
      <c r="B40" s="34">
        <v>12</v>
      </c>
      <c r="C40" s="35" t="s">
        <v>17</v>
      </c>
      <c r="D40" s="36" t="s">
        <v>65</v>
      </c>
      <c r="E40" s="35">
        <v>14000</v>
      </c>
      <c r="F40" s="36">
        <v>840000</v>
      </c>
      <c r="G40" s="36" t="str" cm="1">
        <f t="array" ref="G40">_xlfn.IFS(revenuXYZ[[#This Row],[categorie]]="Salaire","Banque",revenuXYZ[[#This Row],[categorie]]="Don","Portefeuille",revenuXYZ[[#This Row],[categorie]]="Freelancing","Banque",revenuXYZ[[#This Row],[categorie]]="Autres","Portefeuille")</f>
        <v>Banque</v>
      </c>
      <c r="H40" s="36">
        <v>36</v>
      </c>
    </row>
    <row r="41" spans="1:8" ht="16" x14ac:dyDescent="0.4">
      <c r="A41" s="30">
        <v>45454</v>
      </c>
      <c r="B41" s="34">
        <v>6</v>
      </c>
      <c r="C41" s="35" t="s">
        <v>18</v>
      </c>
      <c r="D41" s="36" t="s">
        <v>66</v>
      </c>
      <c r="E41" s="35">
        <v>1000</v>
      </c>
      <c r="F41" s="36">
        <v>60000</v>
      </c>
      <c r="G41" s="36" t="str" cm="1">
        <f t="array" ref="G41">_xlfn.IFS(revenuXYZ[[#This Row],[categorie]]="Salaire","Banque",revenuXYZ[[#This Row],[categorie]]="Don","Portefeuille",revenuXYZ[[#This Row],[categorie]]="Freelancing","Banque",revenuXYZ[[#This Row],[categorie]]="Autres","Portefeuille")</f>
        <v>Banque</v>
      </c>
      <c r="H41" s="36">
        <v>37</v>
      </c>
    </row>
    <row r="42" spans="1:8" ht="16" x14ac:dyDescent="0.4">
      <c r="A42" s="30">
        <v>45484</v>
      </c>
      <c r="B42" s="34">
        <v>7</v>
      </c>
      <c r="C42" s="35" t="s">
        <v>17</v>
      </c>
      <c r="D42" s="36" t="s">
        <v>67</v>
      </c>
      <c r="E42" s="35">
        <v>55</v>
      </c>
      <c r="F42" s="36">
        <v>3300</v>
      </c>
      <c r="G42" s="36" t="str" cm="1">
        <f t="array" ref="G42">_xlfn.IFS(revenuXYZ[[#This Row],[categorie]]="Salaire","Banque",revenuXYZ[[#This Row],[categorie]]="Don","Portefeuille",revenuXYZ[[#This Row],[categorie]]="Freelancing","Banque",revenuXYZ[[#This Row],[categorie]]="Autres","Portefeuille")</f>
        <v>Banque</v>
      </c>
      <c r="H42" s="36">
        <v>38</v>
      </c>
    </row>
    <row r="43" spans="1:8" ht="16" x14ac:dyDescent="0.4">
      <c r="A43" s="30">
        <v>45484</v>
      </c>
      <c r="B43" s="34">
        <v>7</v>
      </c>
      <c r="C43" s="35" t="s">
        <v>17</v>
      </c>
      <c r="D43" s="36" t="s">
        <v>68</v>
      </c>
      <c r="E43" s="35">
        <v>66</v>
      </c>
      <c r="F43" s="36">
        <v>3960</v>
      </c>
      <c r="G43" s="36" t="str" cm="1">
        <f t="array" ref="G43">_xlfn.IFS(revenuXYZ[[#This Row],[categorie]]="Salaire","Banque",revenuXYZ[[#This Row],[categorie]]="Don","Portefeuille",revenuXYZ[[#This Row],[categorie]]="Freelancing","Banque",revenuXYZ[[#This Row],[categorie]]="Autres","Portefeuille")</f>
        <v>Banque</v>
      </c>
      <c r="H43" s="36">
        <v>39</v>
      </c>
    </row>
    <row r="44" spans="1:8" ht="16" x14ac:dyDescent="0.4">
      <c r="A44" s="30">
        <v>45505</v>
      </c>
      <c r="B44" s="34">
        <v>8</v>
      </c>
      <c r="C44" s="35" t="s">
        <v>36</v>
      </c>
      <c r="D44" s="36" t="s">
        <v>69</v>
      </c>
      <c r="E44" s="35">
        <v>200</v>
      </c>
      <c r="F44" s="36">
        <v>131191.4</v>
      </c>
      <c r="G44" s="36" t="str" cm="1">
        <f t="array" ref="G44">_xlfn.IFS(revenuXYZ[[#This Row],[categorie]]="Salaire","Banque",revenuXYZ[[#This Row],[categorie]]="Don","Portefeuille",revenuXYZ[[#This Row],[categorie]]="Freelancing","Banque",revenuXYZ[[#This Row],[categorie]]="Autres","Portefeuille")</f>
        <v>Portefeuille</v>
      </c>
      <c r="H44" s="36">
        <v>40</v>
      </c>
    </row>
    <row r="45" spans="1:8" ht="16" x14ac:dyDescent="0.4">
      <c r="A45" s="30">
        <v>45510</v>
      </c>
      <c r="B45" s="34">
        <v>8</v>
      </c>
      <c r="C45" s="35" t="s">
        <v>36</v>
      </c>
      <c r="D45" s="36" t="s">
        <v>70</v>
      </c>
      <c r="E45" s="35">
        <v>200</v>
      </c>
      <c r="F45" s="36">
        <v>131191.4</v>
      </c>
      <c r="G45" s="36" t="str" cm="1">
        <f t="array" ref="G45">_xlfn.IFS(revenuXYZ[[#This Row],[categorie]]="Salaire","Banque",revenuXYZ[[#This Row],[categorie]]="Don","Portefeuille",revenuXYZ[[#This Row],[categorie]]="Freelancing","Banque",revenuXYZ[[#This Row],[categorie]]="Autres","Portefeuille")</f>
        <v>Portefeuille</v>
      </c>
      <c r="H45" s="36">
        <v>41</v>
      </c>
    </row>
    <row r="46" spans="1:8" ht="16" x14ac:dyDescent="0.4">
      <c r="A46" s="30">
        <v>45510</v>
      </c>
      <c r="B46" s="34">
        <v>8</v>
      </c>
      <c r="C46" s="35" t="s">
        <v>36</v>
      </c>
      <c r="D46" s="36"/>
      <c r="E46" s="35">
        <v>200</v>
      </c>
      <c r="F46" s="36">
        <v>131191.4</v>
      </c>
      <c r="G46" s="36" t="str" cm="1">
        <f t="array" ref="G46">_xlfn.IFS(revenuXYZ[[#This Row],[categorie]]="Salaire","Banque",revenuXYZ[[#This Row],[categorie]]="Don","Portefeuille",revenuXYZ[[#This Row],[categorie]]="Freelancing","Banque",revenuXYZ[[#This Row],[categorie]]="Autres","Portefeuille")</f>
        <v>Portefeuille</v>
      </c>
      <c r="H46" s="36">
        <v>42</v>
      </c>
    </row>
    <row r="47" spans="1:8" ht="16" x14ac:dyDescent="0.4">
      <c r="A47" s="30">
        <v>45475</v>
      </c>
      <c r="B47" s="34">
        <v>7</v>
      </c>
      <c r="C47" s="35" t="s">
        <v>36</v>
      </c>
      <c r="D47" s="36" t="s">
        <v>71</v>
      </c>
      <c r="E47" s="35">
        <v>23</v>
      </c>
      <c r="F47" s="36">
        <v>15087.011</v>
      </c>
      <c r="G47" s="36" t="str" cm="1">
        <f t="array" ref="G47">_xlfn.IFS(revenuXYZ[[#This Row],[categorie]]="Salaire","Banque",revenuXYZ[[#This Row],[categorie]]="Don","Portefeuille",revenuXYZ[[#This Row],[categorie]]="Freelancing","Banque",revenuXYZ[[#This Row],[categorie]]="Autres","Portefeuille")</f>
        <v>Portefeuille</v>
      </c>
      <c r="H47" s="36">
        <v>43</v>
      </c>
    </row>
    <row r="48" spans="1:8" ht="16" x14ac:dyDescent="0.4">
      <c r="A48" s="30">
        <v>45353</v>
      </c>
      <c r="B48" s="34">
        <v>3</v>
      </c>
      <c r="C48" s="35" t="s">
        <v>36</v>
      </c>
      <c r="D48" s="36" t="s">
        <v>72</v>
      </c>
      <c r="E48" s="35">
        <v>200</v>
      </c>
      <c r="F48" s="36">
        <v>131191.4</v>
      </c>
      <c r="G48" s="36" t="str" cm="1">
        <f t="array" ref="G48">_xlfn.IFS(revenuXYZ[[#This Row],[categorie]]="Salaire","Banque",revenuXYZ[[#This Row],[categorie]]="Don","Portefeuille",revenuXYZ[[#This Row],[categorie]]="Freelancing","Banque",revenuXYZ[[#This Row],[categorie]]="Autres","Portefeuille")</f>
        <v>Portefeuille</v>
      </c>
      <c r="H48" s="36">
        <v>44</v>
      </c>
    </row>
    <row r="49" spans="1:8" ht="16" x14ac:dyDescent="0.4">
      <c r="A49" s="30">
        <v>45506</v>
      </c>
      <c r="B49" s="34">
        <v>8</v>
      </c>
      <c r="C49" s="35" t="s">
        <v>36</v>
      </c>
      <c r="D49" s="36" t="s">
        <v>73</v>
      </c>
      <c r="E49" s="35">
        <v>200</v>
      </c>
      <c r="F49" s="36">
        <v>131191.4</v>
      </c>
      <c r="G49" s="36" t="str" cm="1">
        <f t="array" ref="G49">_xlfn.IFS(revenuXYZ[[#This Row],[categorie]]="Salaire","Banque",revenuXYZ[[#This Row],[categorie]]="Don","Portefeuille",revenuXYZ[[#This Row],[categorie]]="Freelancing","Banque",revenuXYZ[[#This Row],[categorie]]="Autres","Portefeuille")</f>
        <v>Portefeuille</v>
      </c>
      <c r="H49" s="36">
        <v>45</v>
      </c>
    </row>
    <row r="50" spans="1:8" ht="16" x14ac:dyDescent="0.4">
      <c r="A50" s="30">
        <v>45511</v>
      </c>
      <c r="B50" s="34">
        <v>8</v>
      </c>
      <c r="C50" s="35" t="s">
        <v>36</v>
      </c>
      <c r="D50" s="36" t="s">
        <v>74</v>
      </c>
      <c r="E50" s="35">
        <v>100</v>
      </c>
      <c r="F50" s="36">
        <v>65595.7</v>
      </c>
      <c r="G50" s="36" t="str" cm="1">
        <f t="array" ref="G50">_xlfn.IFS(revenuXYZ[[#This Row],[categorie]]="Salaire","Banque",revenuXYZ[[#This Row],[categorie]]="Don","Portefeuille",revenuXYZ[[#This Row],[categorie]]="Freelancing","Banque",revenuXYZ[[#This Row],[categorie]]="Autres","Portefeuille")</f>
        <v>Portefeuille</v>
      </c>
      <c r="H50" s="36">
        <v>46</v>
      </c>
    </row>
    <row r="51" spans="1:8" ht="16" x14ac:dyDescent="0.4">
      <c r="A51" s="30">
        <v>45574</v>
      </c>
      <c r="B51" s="34">
        <v>10</v>
      </c>
      <c r="C51" s="35" t="s">
        <v>19</v>
      </c>
      <c r="D51" s="36" t="s">
        <v>75</v>
      </c>
      <c r="E51" s="35">
        <v>300</v>
      </c>
      <c r="F51" s="36">
        <v>18000</v>
      </c>
      <c r="G51" s="36" t="str" cm="1">
        <f t="array" ref="G51">_xlfn.IFS(revenuXYZ[[#This Row],[categorie]]="Salaire","Banque",revenuXYZ[[#This Row],[categorie]]="Don","Portefeuille",revenuXYZ[[#This Row],[categorie]]="Freelancing","Banque",revenuXYZ[[#This Row],[categorie]]="Autres","Portefeuille")</f>
        <v>Portefeuille</v>
      </c>
      <c r="H51" s="36">
        <v>47</v>
      </c>
    </row>
    <row r="52" spans="1:8" ht="16" x14ac:dyDescent="0.4">
      <c r="A52" s="30">
        <v>45498</v>
      </c>
      <c r="B52" s="34">
        <v>7</v>
      </c>
      <c r="C52" s="35" t="s">
        <v>17</v>
      </c>
      <c r="D52" s="36" t="s">
        <v>76</v>
      </c>
      <c r="E52" s="35">
        <v>1000</v>
      </c>
      <c r="F52" s="36">
        <v>60000</v>
      </c>
      <c r="G52" s="36" t="str" cm="1">
        <f t="array" ref="G52">_xlfn.IFS(revenuXYZ[[#This Row],[categorie]]="Salaire","Banque",revenuXYZ[[#This Row],[categorie]]="Don","Portefeuille",revenuXYZ[[#This Row],[categorie]]="Freelancing","Banque",revenuXYZ[[#This Row],[categorie]]="Autres","Portefeuille")</f>
        <v>Banque</v>
      </c>
      <c r="H52" s="36">
        <v>48</v>
      </c>
    </row>
    <row r="53" spans="1:8" ht="16" x14ac:dyDescent="0.4">
      <c r="A53" s="30">
        <v>45498</v>
      </c>
      <c r="B53" s="34">
        <v>7</v>
      </c>
      <c r="C53" s="35" t="s">
        <v>18</v>
      </c>
      <c r="D53" s="36" t="s">
        <v>77</v>
      </c>
      <c r="E53" s="35">
        <v>200</v>
      </c>
      <c r="F53" s="36">
        <v>12000</v>
      </c>
      <c r="G53" s="36" t="str" cm="1">
        <f t="array" ref="G53">_xlfn.IFS(revenuXYZ[[#This Row],[categorie]]="Salaire","Banque",revenuXYZ[[#This Row],[categorie]]="Don","Portefeuille",revenuXYZ[[#This Row],[categorie]]="Freelancing","Banque",revenuXYZ[[#This Row],[categorie]]="Autres","Portefeuille")</f>
        <v>Banque</v>
      </c>
      <c r="H53" s="36">
        <v>49</v>
      </c>
    </row>
    <row r="54" spans="1:8" ht="16" x14ac:dyDescent="0.4">
      <c r="A54" s="30">
        <v>45621</v>
      </c>
      <c r="B54" s="34">
        <v>11</v>
      </c>
      <c r="C54" s="35" t="s">
        <v>17</v>
      </c>
      <c r="D54" s="36" t="s">
        <v>78</v>
      </c>
      <c r="E54" s="35">
        <v>13000</v>
      </c>
      <c r="F54" s="36">
        <v>780000</v>
      </c>
      <c r="G54" s="36" t="str" cm="1">
        <f t="array" ref="G54">_xlfn.IFS(revenuXYZ[[#This Row],[categorie]]="Salaire","Banque",revenuXYZ[[#This Row],[categorie]]="Don","Portefeuille",revenuXYZ[[#This Row],[categorie]]="Freelancing","Banque",revenuXYZ[[#This Row],[categorie]]="Autres","Portefeuille")</f>
        <v>Banque</v>
      </c>
      <c r="H54" s="36">
        <v>50</v>
      </c>
    </row>
    <row r="55" spans="1:8" ht="16" x14ac:dyDescent="0.4">
      <c r="A55" s="30">
        <v>45348</v>
      </c>
      <c r="B55" s="34">
        <v>2</v>
      </c>
      <c r="C55" s="35" t="s">
        <v>17</v>
      </c>
      <c r="D55" s="36"/>
      <c r="E55" s="35">
        <v>10000</v>
      </c>
      <c r="F55" s="36">
        <v>600000</v>
      </c>
      <c r="G55" s="36" t="str" cm="1">
        <f t="array" ref="G55">_xlfn.IFS(revenuXYZ[[#This Row],[categorie]]="Salaire","Banque",revenuXYZ[[#This Row],[categorie]]="Don","Portefeuille",revenuXYZ[[#This Row],[categorie]]="Freelancing","Banque",revenuXYZ[[#This Row],[categorie]]="Autres","Portefeuille")</f>
        <v>Banque</v>
      </c>
      <c r="H55" s="36">
        <v>51</v>
      </c>
    </row>
    <row r="56" spans="1:8" ht="16" x14ac:dyDescent="0.4">
      <c r="A56" s="30">
        <v>45499</v>
      </c>
      <c r="B56" s="34">
        <v>7</v>
      </c>
      <c r="C56" s="35" t="s">
        <v>36</v>
      </c>
      <c r="D56" s="36" t="s">
        <v>138</v>
      </c>
      <c r="E56" s="35">
        <v>2</v>
      </c>
      <c r="F56" s="36">
        <v>120</v>
      </c>
      <c r="G56" s="36" t="str" cm="1">
        <f t="array" ref="G56">_xlfn.IFS(revenuXYZ[[#This Row],[categorie]]="Salaire","Banque",revenuXYZ[[#This Row],[categorie]]="Don","Portefeuille",revenuXYZ[[#This Row],[categorie]]="Freelancing","Banque",revenuXYZ[[#This Row],[categorie]]="Autres","Portefeuille")</f>
        <v>Portefeuille</v>
      </c>
      <c r="H56" s="36">
        <v>52</v>
      </c>
    </row>
    <row r="57" spans="1:8" ht="16" x14ac:dyDescent="0.4">
      <c r="A57" s="30">
        <v>45622</v>
      </c>
      <c r="B57" s="34">
        <v>11</v>
      </c>
      <c r="C57" s="35" t="s">
        <v>17</v>
      </c>
      <c r="D57" s="36" t="s">
        <v>140</v>
      </c>
      <c r="E57" s="35">
        <v>10000</v>
      </c>
      <c r="F57" s="36">
        <v>600000</v>
      </c>
      <c r="G57" s="36" t="str" cm="1">
        <f t="array" ref="G57">_xlfn.IFS(revenuXYZ[[#This Row],[categorie]]="Salaire","Banque",revenuXYZ[[#This Row],[categorie]]="Don","Portefeuille",revenuXYZ[[#This Row],[categorie]]="Freelancing","Banque",revenuXYZ[[#This Row],[categorie]]="Autres","Portefeuille")</f>
        <v>Banque</v>
      </c>
      <c r="H57" s="36">
        <v>53</v>
      </c>
    </row>
    <row r="58" spans="1:8" ht="16" x14ac:dyDescent="0.4">
      <c r="A58" s="30">
        <v>45531</v>
      </c>
      <c r="B58" s="34">
        <v>8</v>
      </c>
      <c r="C58" s="35" t="s">
        <v>36</v>
      </c>
      <c r="D58" s="36" t="s">
        <v>142</v>
      </c>
      <c r="E58" s="35">
        <v>100</v>
      </c>
      <c r="F58" s="36">
        <v>6000</v>
      </c>
      <c r="G58" s="36" t="str" cm="1">
        <f t="array" ref="G58">_xlfn.IFS(revenuXYZ[[#This Row],[categorie]]="Salaire","Banque",revenuXYZ[[#This Row],[categorie]]="Don","Portefeuille",revenuXYZ[[#This Row],[categorie]]="Freelancing","Banque",revenuXYZ[[#This Row],[categorie]]="Autres","Portefeuille")</f>
        <v>Portefeuille</v>
      </c>
      <c r="H58" s="36">
        <v>54</v>
      </c>
    </row>
    <row r="59" spans="1:8" ht="16" x14ac:dyDescent="0.4">
      <c r="A59" s="36" t="s">
        <v>25</v>
      </c>
      <c r="B59" s="36"/>
      <c r="C59" s="36"/>
      <c r="D59" s="37"/>
      <c r="E59" s="38">
        <f>SUBTOTAL(109,revenuXYZ[montant])</f>
        <v>153991</v>
      </c>
      <c r="F59" s="39">
        <f>SUM(revenuXYZ[montant_CFA])</f>
        <v>4500019.7109999992</v>
      </c>
      <c r="G59" s="36"/>
      <c r="H59" s="36"/>
    </row>
  </sheetData>
  <conditionalFormatting sqref="C5:C58">
    <cfRule type="cellIs" dxfId="38" priority="1" operator="equal">
      <formula>"Salaire"</formula>
    </cfRule>
  </conditionalFormatting>
  <conditionalFormatting sqref="E5:E58">
    <cfRule type="dataBar" priority="2">
      <dataBar>
        <cfvo type="min"/>
        <cfvo type="max"/>
        <color theme="9"/>
      </dataBar>
      <extLst>
        <ext xmlns:x14="http://schemas.microsoft.com/office/spreadsheetml/2009/9/main" uri="{B025F937-C7B1-47D3-B67F-A62EFF666E3E}">
          <x14:id>{78082D5C-47C6-43BC-9046-70E74BAF8C9C}</x14:id>
        </ext>
      </extLst>
    </cfRule>
  </conditionalFormatting>
  <pageMargins left="0.7" right="0.7" top="0.75" bottom="0.75" header="0.3" footer="0.3"/>
  <pageSetup paperSize="9" orientation="landscape" r:id="rId1"/>
  <headerFooter>
    <oddHeader>&amp;CHermann  KAKPEU</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8_Click">
                <anchor moveWithCells="1" sizeWithCells="1">
                  <from>
                    <xdr:col>3</xdr:col>
                    <xdr:colOff>165100</xdr:colOff>
                    <xdr:row>0</xdr:row>
                    <xdr:rowOff>38100</xdr:rowOff>
                  </from>
                  <to>
                    <xdr:col>3</xdr:col>
                    <xdr:colOff>2755900</xdr:colOff>
                    <xdr:row>2</xdr:row>
                    <xdr:rowOff>152400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78082D5C-47C6-43BC-9046-70E74BAF8C9C}">
            <x14:dataBar minLength="0" maxLength="100" border="1" negativeBarBorderColorSameAsPositive="0">
              <x14:cfvo type="autoMin"/>
              <x14:cfvo type="autoMax"/>
              <x14:borderColor rgb="FFD6007B"/>
              <x14:negativeFillColor rgb="FFFF0000"/>
              <x14:negativeBorderColor rgb="FFFF0000"/>
              <x14:axisColor rgb="FF000000"/>
            </x14:dataBar>
          </x14:cfRule>
          <xm:sqref>E5:E58</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0E9C-3FDF-401D-9A3B-482FF9E82AE0}">
  <sheetPr codeName="Sheet4"/>
  <dimension ref="A4:H51"/>
  <sheetViews>
    <sheetView view="pageLayout" topLeftCell="A33" zoomScale="73" zoomScaleNormal="100" zoomScalePageLayoutView="73" workbookViewId="0">
      <selection activeCell="C6" sqref="C6"/>
    </sheetView>
  </sheetViews>
  <sheetFormatPr defaultRowHeight="14.5" x14ac:dyDescent="0.35"/>
  <cols>
    <col min="1" max="1" width="8.81640625" bestFit="1" customWidth="1"/>
    <col min="2" max="2" width="6.90625" customWidth="1"/>
    <col min="3" max="3" width="14.1796875" customWidth="1"/>
    <col min="4" max="4" width="18.08984375" bestFit="1" customWidth="1"/>
    <col min="5" max="5" width="40.7265625" customWidth="1"/>
    <col min="6" max="6" width="14.1796875" bestFit="1" customWidth="1"/>
    <col min="7" max="7" width="18" customWidth="1"/>
  </cols>
  <sheetData>
    <row r="4" spans="1:8" ht="16" x14ac:dyDescent="0.4">
      <c r="A4" s="36" t="s">
        <v>32</v>
      </c>
      <c r="B4" s="36" t="s">
        <v>51</v>
      </c>
      <c r="C4" s="36" t="s">
        <v>53</v>
      </c>
      <c r="D4" s="36" t="s">
        <v>37</v>
      </c>
      <c r="E4" s="36" t="s">
        <v>34</v>
      </c>
      <c r="F4" s="36" t="s">
        <v>35</v>
      </c>
      <c r="G4" s="36" t="s">
        <v>49</v>
      </c>
      <c r="H4" s="36" t="s">
        <v>143</v>
      </c>
    </row>
    <row r="5" spans="1:8" x14ac:dyDescent="0.35">
      <c r="A5" s="42">
        <v>45498</v>
      </c>
      <c r="B5" s="43">
        <v>7</v>
      </c>
      <c r="C5" s="44" t="s">
        <v>55</v>
      </c>
      <c r="D5" s="17" t="s">
        <v>80</v>
      </c>
      <c r="E5" t="s">
        <v>81</v>
      </c>
      <c r="F5">
        <v>20</v>
      </c>
      <c r="G5">
        <v>1200</v>
      </c>
      <c r="H5">
        <v>1</v>
      </c>
    </row>
    <row r="6" spans="1:8" x14ac:dyDescent="0.35">
      <c r="A6" s="42">
        <v>45498</v>
      </c>
      <c r="B6" s="43">
        <v>7</v>
      </c>
      <c r="C6" s="44" t="s">
        <v>55</v>
      </c>
      <c r="D6" s="17" t="s">
        <v>27</v>
      </c>
      <c r="E6" t="s">
        <v>82</v>
      </c>
      <c r="F6">
        <v>50</v>
      </c>
      <c r="G6">
        <v>3000</v>
      </c>
      <c r="H6">
        <v>2</v>
      </c>
    </row>
    <row r="7" spans="1:8" x14ac:dyDescent="0.35">
      <c r="A7" s="42">
        <v>45498</v>
      </c>
      <c r="B7" s="43">
        <v>7</v>
      </c>
      <c r="C7" s="44" t="s">
        <v>55</v>
      </c>
      <c r="D7" s="17" t="s">
        <v>29</v>
      </c>
      <c r="E7" t="s">
        <v>83</v>
      </c>
      <c r="F7">
        <v>100</v>
      </c>
      <c r="G7">
        <v>6000</v>
      </c>
      <c r="H7">
        <v>3</v>
      </c>
    </row>
    <row r="8" spans="1:8" x14ac:dyDescent="0.35">
      <c r="A8" s="42">
        <v>45498</v>
      </c>
      <c r="B8" s="43">
        <v>7</v>
      </c>
      <c r="C8" s="44" t="s">
        <v>55</v>
      </c>
      <c r="D8" s="17" t="s">
        <v>45</v>
      </c>
      <c r="E8" t="s">
        <v>84</v>
      </c>
      <c r="F8">
        <v>200</v>
      </c>
      <c r="G8">
        <v>12000</v>
      </c>
      <c r="H8">
        <v>4</v>
      </c>
    </row>
    <row r="9" spans="1:8" x14ac:dyDescent="0.35">
      <c r="A9" s="42">
        <v>45560</v>
      </c>
      <c r="B9" s="43">
        <v>9</v>
      </c>
      <c r="C9" s="44" t="s">
        <v>55</v>
      </c>
      <c r="D9" s="17" t="s">
        <v>45</v>
      </c>
      <c r="E9" t="s">
        <v>85</v>
      </c>
      <c r="F9">
        <v>100</v>
      </c>
      <c r="G9">
        <v>6000</v>
      </c>
      <c r="H9">
        <v>5</v>
      </c>
    </row>
    <row r="10" spans="1:8" x14ac:dyDescent="0.35">
      <c r="A10" s="42">
        <v>45498</v>
      </c>
      <c r="B10" s="43">
        <v>7</v>
      </c>
      <c r="C10" s="44" t="s">
        <v>55</v>
      </c>
      <c r="D10" s="17" t="s">
        <v>21</v>
      </c>
      <c r="E10" t="s">
        <v>86</v>
      </c>
      <c r="F10">
        <v>1000</v>
      </c>
      <c r="G10">
        <v>60000</v>
      </c>
      <c r="H10">
        <v>6</v>
      </c>
    </row>
    <row r="11" spans="1:8" x14ac:dyDescent="0.35">
      <c r="A11" s="42">
        <v>45560</v>
      </c>
      <c r="B11" s="43">
        <v>9</v>
      </c>
      <c r="C11" s="44" t="s">
        <v>55</v>
      </c>
      <c r="D11" s="17" t="s">
        <v>79</v>
      </c>
      <c r="E11" t="s">
        <v>91</v>
      </c>
      <c r="F11">
        <v>300</v>
      </c>
      <c r="G11">
        <v>18000</v>
      </c>
      <c r="H11">
        <v>7</v>
      </c>
    </row>
    <row r="12" spans="1:8" x14ac:dyDescent="0.35">
      <c r="A12" s="42">
        <v>45292</v>
      </c>
      <c r="B12" s="43">
        <v>1</v>
      </c>
      <c r="C12" s="44" t="s">
        <v>54</v>
      </c>
      <c r="D12" s="17" t="s">
        <v>21</v>
      </c>
      <c r="E12" t="s">
        <v>101</v>
      </c>
      <c r="F12">
        <v>3000</v>
      </c>
      <c r="G12">
        <v>180000</v>
      </c>
      <c r="H12">
        <v>8</v>
      </c>
    </row>
    <row r="13" spans="1:8" x14ac:dyDescent="0.35">
      <c r="A13" s="42">
        <v>45294</v>
      </c>
      <c r="B13" s="43">
        <v>1</v>
      </c>
      <c r="C13" s="44" t="s">
        <v>55</v>
      </c>
      <c r="D13" s="17" t="s">
        <v>79</v>
      </c>
      <c r="E13" t="s">
        <v>102</v>
      </c>
      <c r="F13">
        <v>200</v>
      </c>
      <c r="G13">
        <v>12000</v>
      </c>
      <c r="H13">
        <v>9</v>
      </c>
    </row>
    <row r="14" spans="1:8" x14ac:dyDescent="0.35">
      <c r="A14" s="42">
        <v>45296</v>
      </c>
      <c r="B14" s="43">
        <v>1</v>
      </c>
      <c r="C14" s="44" t="s">
        <v>55</v>
      </c>
      <c r="D14" s="17" t="s">
        <v>26</v>
      </c>
      <c r="E14" t="s">
        <v>103</v>
      </c>
      <c r="F14">
        <v>50</v>
      </c>
      <c r="G14">
        <v>3000</v>
      </c>
      <c r="H14">
        <v>10</v>
      </c>
    </row>
    <row r="15" spans="1:8" x14ac:dyDescent="0.35">
      <c r="A15" s="42">
        <v>45296</v>
      </c>
      <c r="B15" s="43">
        <v>1</v>
      </c>
      <c r="C15" s="44" t="s">
        <v>55</v>
      </c>
      <c r="D15" s="17" t="s">
        <v>27</v>
      </c>
      <c r="E15" t="s">
        <v>104</v>
      </c>
      <c r="F15">
        <v>100</v>
      </c>
      <c r="G15">
        <v>6000</v>
      </c>
      <c r="H15">
        <v>11</v>
      </c>
    </row>
    <row r="16" spans="1:8" x14ac:dyDescent="0.35">
      <c r="A16" s="42">
        <v>45300</v>
      </c>
      <c r="B16" s="43">
        <v>1</v>
      </c>
      <c r="C16" s="44" t="s">
        <v>54</v>
      </c>
      <c r="D16" s="17" t="s">
        <v>80</v>
      </c>
      <c r="E16" t="s">
        <v>105</v>
      </c>
      <c r="F16">
        <v>200</v>
      </c>
      <c r="G16">
        <v>12000</v>
      </c>
      <c r="H16">
        <v>12</v>
      </c>
    </row>
    <row r="17" spans="1:8" x14ac:dyDescent="0.35">
      <c r="A17" s="42">
        <v>45300</v>
      </c>
      <c r="B17" s="43">
        <v>1</v>
      </c>
      <c r="C17" s="44" t="s">
        <v>55</v>
      </c>
      <c r="D17" s="17" t="s">
        <v>45</v>
      </c>
      <c r="E17" t="s">
        <v>106</v>
      </c>
      <c r="F17">
        <v>300</v>
      </c>
      <c r="G17">
        <v>18000</v>
      </c>
      <c r="H17">
        <v>13</v>
      </c>
    </row>
    <row r="18" spans="1:8" x14ac:dyDescent="0.35">
      <c r="A18" s="42">
        <v>45300</v>
      </c>
      <c r="B18" s="43">
        <v>1</v>
      </c>
      <c r="C18" s="44" t="s">
        <v>55</v>
      </c>
      <c r="D18" s="17" t="s">
        <v>45</v>
      </c>
      <c r="E18" t="s">
        <v>107</v>
      </c>
      <c r="F18">
        <v>100</v>
      </c>
      <c r="G18">
        <v>6000</v>
      </c>
      <c r="H18">
        <v>14</v>
      </c>
    </row>
    <row r="19" spans="1:8" x14ac:dyDescent="0.35">
      <c r="A19" s="42">
        <v>45302</v>
      </c>
      <c r="B19" s="43">
        <v>1</v>
      </c>
      <c r="C19" s="44" t="s">
        <v>55</v>
      </c>
      <c r="D19" s="17" t="s">
        <v>57</v>
      </c>
      <c r="E19" t="s">
        <v>108</v>
      </c>
      <c r="F19">
        <v>150</v>
      </c>
      <c r="G19">
        <v>9000</v>
      </c>
      <c r="H19">
        <v>15</v>
      </c>
    </row>
    <row r="20" spans="1:8" x14ac:dyDescent="0.35">
      <c r="A20" s="42">
        <v>45302</v>
      </c>
      <c r="B20" s="43">
        <v>1</v>
      </c>
      <c r="C20" s="44" t="s">
        <v>55</v>
      </c>
      <c r="D20" s="17" t="s">
        <v>57</v>
      </c>
      <c r="E20" t="s">
        <v>109</v>
      </c>
      <c r="F20">
        <v>50</v>
      </c>
      <c r="G20">
        <v>3000</v>
      </c>
      <c r="H20">
        <v>16</v>
      </c>
    </row>
    <row r="21" spans="1:8" x14ac:dyDescent="0.35">
      <c r="A21" s="42">
        <v>45302</v>
      </c>
      <c r="B21" s="43">
        <v>1</v>
      </c>
      <c r="C21" s="44" t="s">
        <v>54</v>
      </c>
      <c r="D21" s="17" t="s">
        <v>57</v>
      </c>
      <c r="E21" t="s">
        <v>110</v>
      </c>
      <c r="F21">
        <v>70</v>
      </c>
      <c r="G21">
        <v>4200</v>
      </c>
      <c r="H21">
        <v>17</v>
      </c>
    </row>
    <row r="22" spans="1:8" x14ac:dyDescent="0.35">
      <c r="A22" s="42">
        <v>45307</v>
      </c>
      <c r="B22" s="43">
        <v>1</v>
      </c>
      <c r="C22" s="44" t="s">
        <v>54</v>
      </c>
      <c r="D22" s="17" t="s">
        <v>56</v>
      </c>
      <c r="E22" t="s">
        <v>111</v>
      </c>
      <c r="F22">
        <v>200</v>
      </c>
      <c r="G22">
        <v>12000</v>
      </c>
      <c r="H22">
        <v>18</v>
      </c>
    </row>
    <row r="23" spans="1:8" x14ac:dyDescent="0.35">
      <c r="A23" s="42">
        <v>45307</v>
      </c>
      <c r="B23" s="43">
        <v>1</v>
      </c>
      <c r="C23" s="44" t="s">
        <v>54</v>
      </c>
      <c r="D23" s="17" t="s">
        <v>29</v>
      </c>
      <c r="E23" t="s">
        <v>112</v>
      </c>
      <c r="F23">
        <v>50</v>
      </c>
      <c r="G23">
        <v>3000</v>
      </c>
      <c r="H23">
        <v>19</v>
      </c>
    </row>
    <row r="24" spans="1:8" x14ac:dyDescent="0.35">
      <c r="A24" s="42">
        <v>45312</v>
      </c>
      <c r="B24" s="43">
        <v>1</v>
      </c>
      <c r="C24" s="44" t="s">
        <v>54</v>
      </c>
      <c r="D24" s="17" t="s">
        <v>30</v>
      </c>
      <c r="E24" t="s">
        <v>113</v>
      </c>
      <c r="F24">
        <v>300</v>
      </c>
      <c r="G24">
        <v>18000</v>
      </c>
      <c r="H24">
        <v>20</v>
      </c>
    </row>
    <row r="25" spans="1:8" x14ac:dyDescent="0.35">
      <c r="A25" s="42">
        <v>45343</v>
      </c>
      <c r="B25" s="43">
        <v>2</v>
      </c>
      <c r="C25" s="44" t="s">
        <v>54</v>
      </c>
      <c r="D25" s="17" t="s">
        <v>21</v>
      </c>
      <c r="E25" t="s">
        <v>114</v>
      </c>
      <c r="F25">
        <v>3000</v>
      </c>
      <c r="G25">
        <v>180000</v>
      </c>
      <c r="H25">
        <v>21</v>
      </c>
    </row>
    <row r="26" spans="1:8" x14ac:dyDescent="0.35">
      <c r="A26" s="42">
        <v>45325</v>
      </c>
      <c r="B26" s="43">
        <v>2</v>
      </c>
      <c r="C26" s="44" t="s">
        <v>54</v>
      </c>
      <c r="D26" s="17" t="s">
        <v>79</v>
      </c>
      <c r="E26" t="s">
        <v>115</v>
      </c>
      <c r="F26">
        <v>130</v>
      </c>
      <c r="G26">
        <v>7800</v>
      </c>
      <c r="H26">
        <v>22</v>
      </c>
    </row>
    <row r="27" spans="1:8" x14ac:dyDescent="0.35">
      <c r="A27" s="42">
        <v>45306</v>
      </c>
      <c r="B27" s="43">
        <v>1</v>
      </c>
      <c r="C27" s="44" t="s">
        <v>54</v>
      </c>
      <c r="D27" s="17" t="s">
        <v>80</v>
      </c>
      <c r="E27" t="s">
        <v>105</v>
      </c>
      <c r="F27">
        <v>150</v>
      </c>
      <c r="G27">
        <v>9000</v>
      </c>
      <c r="H27">
        <v>23</v>
      </c>
    </row>
    <row r="28" spans="1:8" x14ac:dyDescent="0.35">
      <c r="A28" s="42">
        <v>45348</v>
      </c>
      <c r="B28" s="43">
        <v>2</v>
      </c>
      <c r="C28" s="44" t="s">
        <v>55</v>
      </c>
      <c r="D28" s="17" t="s">
        <v>26</v>
      </c>
      <c r="E28" t="s">
        <v>119</v>
      </c>
      <c r="F28">
        <v>73</v>
      </c>
      <c r="G28">
        <v>4380</v>
      </c>
      <c r="H28">
        <v>24</v>
      </c>
    </row>
    <row r="29" spans="1:8" x14ac:dyDescent="0.35">
      <c r="A29" s="42">
        <v>45348</v>
      </c>
      <c r="B29" s="43">
        <v>2</v>
      </c>
      <c r="C29" s="44" t="s">
        <v>55</v>
      </c>
      <c r="D29" s="17" t="s">
        <v>80</v>
      </c>
      <c r="E29" t="s">
        <v>120</v>
      </c>
      <c r="F29">
        <v>200</v>
      </c>
      <c r="G29">
        <v>12000</v>
      </c>
      <c r="H29">
        <v>25</v>
      </c>
    </row>
    <row r="30" spans="1:8" x14ac:dyDescent="0.35">
      <c r="A30" s="42">
        <v>45354</v>
      </c>
      <c r="B30" s="43">
        <v>3</v>
      </c>
      <c r="C30" s="44" t="s">
        <v>55</v>
      </c>
      <c r="D30" s="17" t="s">
        <v>21</v>
      </c>
      <c r="E30" t="s">
        <v>121</v>
      </c>
      <c r="F30">
        <v>3000</v>
      </c>
      <c r="G30">
        <v>180000</v>
      </c>
      <c r="H30">
        <v>26</v>
      </c>
    </row>
    <row r="31" spans="1:8" x14ac:dyDescent="0.35">
      <c r="A31" s="42">
        <v>45358</v>
      </c>
      <c r="B31" s="43">
        <v>3</v>
      </c>
      <c r="C31" s="44" t="s">
        <v>55</v>
      </c>
      <c r="D31" s="17" t="s">
        <v>79</v>
      </c>
      <c r="E31" t="s">
        <v>122</v>
      </c>
      <c r="F31">
        <v>100</v>
      </c>
      <c r="G31">
        <v>6000</v>
      </c>
      <c r="H31">
        <v>27</v>
      </c>
    </row>
    <row r="32" spans="1:8" x14ac:dyDescent="0.35">
      <c r="A32" s="42">
        <v>45358</v>
      </c>
      <c r="B32" s="43">
        <v>3</v>
      </c>
      <c r="C32" s="44" t="s">
        <v>55</v>
      </c>
      <c r="D32" s="17" t="s">
        <v>26</v>
      </c>
      <c r="E32" t="s">
        <v>123</v>
      </c>
      <c r="F32">
        <v>50</v>
      </c>
      <c r="G32">
        <v>3000</v>
      </c>
      <c r="H32">
        <v>28</v>
      </c>
    </row>
    <row r="33" spans="1:8" x14ac:dyDescent="0.35">
      <c r="A33" s="42">
        <v>45363</v>
      </c>
      <c r="B33" s="43">
        <v>3</v>
      </c>
      <c r="C33" s="44" t="s">
        <v>55</v>
      </c>
      <c r="D33" s="17" t="s">
        <v>80</v>
      </c>
      <c r="E33" t="s">
        <v>124</v>
      </c>
      <c r="F33">
        <v>200</v>
      </c>
      <c r="G33">
        <v>12000</v>
      </c>
      <c r="H33">
        <v>29</v>
      </c>
    </row>
    <row r="34" spans="1:8" x14ac:dyDescent="0.35">
      <c r="A34" s="42">
        <v>45365</v>
      </c>
      <c r="B34" s="43">
        <v>3</v>
      </c>
      <c r="C34" s="44" t="s">
        <v>54</v>
      </c>
      <c r="D34" s="17" t="s">
        <v>27</v>
      </c>
      <c r="E34" t="s">
        <v>82</v>
      </c>
      <c r="F34">
        <v>60</v>
      </c>
      <c r="G34">
        <v>3600</v>
      </c>
      <c r="H34">
        <v>30</v>
      </c>
    </row>
    <row r="35" spans="1:8" x14ac:dyDescent="0.35">
      <c r="A35" s="42">
        <v>45365</v>
      </c>
      <c r="B35" s="43">
        <v>3</v>
      </c>
      <c r="C35" s="44" t="s">
        <v>54</v>
      </c>
      <c r="D35" s="17" t="s">
        <v>45</v>
      </c>
      <c r="E35" t="s">
        <v>125</v>
      </c>
      <c r="F35">
        <v>200</v>
      </c>
      <c r="G35">
        <v>12000</v>
      </c>
      <c r="H35">
        <v>31</v>
      </c>
    </row>
    <row r="36" spans="1:8" x14ac:dyDescent="0.35">
      <c r="A36" s="42">
        <v>45363</v>
      </c>
      <c r="B36" s="43">
        <v>3</v>
      </c>
      <c r="C36" s="44" t="s">
        <v>54</v>
      </c>
      <c r="D36" s="17" t="s">
        <v>57</v>
      </c>
      <c r="E36" t="s">
        <v>126</v>
      </c>
      <c r="F36">
        <v>400</v>
      </c>
      <c r="G36">
        <v>24000</v>
      </c>
      <c r="H36">
        <v>32</v>
      </c>
    </row>
    <row r="37" spans="1:8" x14ac:dyDescent="0.35">
      <c r="A37" s="42">
        <v>45369</v>
      </c>
      <c r="B37" s="43">
        <v>3</v>
      </c>
      <c r="C37" s="44" t="s">
        <v>55</v>
      </c>
      <c r="D37" s="17" t="s">
        <v>56</v>
      </c>
      <c r="E37" t="s">
        <v>127</v>
      </c>
      <c r="F37">
        <v>100</v>
      </c>
      <c r="G37">
        <v>6000</v>
      </c>
      <c r="H37">
        <v>33</v>
      </c>
    </row>
    <row r="38" spans="1:8" x14ac:dyDescent="0.35">
      <c r="A38" s="42">
        <v>45371</v>
      </c>
      <c r="B38" s="43">
        <v>3</v>
      </c>
      <c r="C38" s="44" t="s">
        <v>54</v>
      </c>
      <c r="D38" s="17" t="s">
        <v>28</v>
      </c>
      <c r="E38" t="s">
        <v>128</v>
      </c>
      <c r="F38">
        <v>300</v>
      </c>
      <c r="G38">
        <v>18000</v>
      </c>
      <c r="H38">
        <v>34</v>
      </c>
    </row>
    <row r="39" spans="1:8" x14ac:dyDescent="0.35">
      <c r="A39" s="42">
        <v>45371</v>
      </c>
      <c r="B39" s="43">
        <v>3</v>
      </c>
      <c r="C39" s="44" t="s">
        <v>54</v>
      </c>
      <c r="D39" s="17" t="s">
        <v>29</v>
      </c>
      <c r="E39" t="s">
        <v>129</v>
      </c>
      <c r="F39">
        <v>150</v>
      </c>
      <c r="G39">
        <v>9000</v>
      </c>
      <c r="H39">
        <v>35</v>
      </c>
    </row>
    <row r="40" spans="1:8" x14ac:dyDescent="0.35">
      <c r="A40" s="42">
        <v>45371</v>
      </c>
      <c r="B40" s="43">
        <v>3</v>
      </c>
      <c r="C40" s="44" t="s">
        <v>54</v>
      </c>
      <c r="D40" s="17" t="s">
        <v>30</v>
      </c>
      <c r="E40" t="s">
        <v>130</v>
      </c>
      <c r="F40">
        <v>250</v>
      </c>
      <c r="G40">
        <v>15000</v>
      </c>
      <c r="H40">
        <v>36</v>
      </c>
    </row>
    <row r="41" spans="1:8" x14ac:dyDescent="0.35">
      <c r="A41" s="42">
        <v>45383</v>
      </c>
      <c r="B41" s="43">
        <v>4</v>
      </c>
      <c r="C41" s="44" t="s">
        <v>54</v>
      </c>
      <c r="D41" s="17" t="s">
        <v>21</v>
      </c>
      <c r="E41" t="s">
        <v>131</v>
      </c>
      <c r="F41">
        <v>3000</v>
      </c>
      <c r="G41">
        <v>180000</v>
      </c>
      <c r="H41">
        <v>37</v>
      </c>
    </row>
    <row r="42" spans="1:8" x14ac:dyDescent="0.35">
      <c r="A42" s="42">
        <v>45414</v>
      </c>
      <c r="B42" s="43">
        <v>5</v>
      </c>
      <c r="C42" s="44" t="s">
        <v>54</v>
      </c>
      <c r="D42" s="17" t="s">
        <v>21</v>
      </c>
      <c r="E42" t="s">
        <v>132</v>
      </c>
      <c r="F42">
        <v>3500</v>
      </c>
      <c r="G42">
        <v>210000</v>
      </c>
      <c r="H42">
        <v>38</v>
      </c>
    </row>
    <row r="43" spans="1:8" x14ac:dyDescent="0.35">
      <c r="A43" s="42">
        <v>45445</v>
      </c>
      <c r="B43" s="43">
        <v>6</v>
      </c>
      <c r="C43" s="44" t="s">
        <v>54</v>
      </c>
      <c r="D43" s="17" t="s">
        <v>21</v>
      </c>
      <c r="E43" t="s">
        <v>133</v>
      </c>
      <c r="F43">
        <v>3500</v>
      </c>
      <c r="G43">
        <v>210000</v>
      </c>
      <c r="H43">
        <v>39</v>
      </c>
    </row>
    <row r="44" spans="1:8" x14ac:dyDescent="0.35">
      <c r="A44" s="42">
        <v>45537</v>
      </c>
      <c r="B44" s="43">
        <v>9</v>
      </c>
      <c r="C44" s="44" t="s">
        <v>54</v>
      </c>
      <c r="D44" s="17" t="s">
        <v>21</v>
      </c>
      <c r="E44" t="s">
        <v>134</v>
      </c>
      <c r="F44">
        <v>3500</v>
      </c>
      <c r="G44">
        <v>210000</v>
      </c>
      <c r="H44">
        <v>40</v>
      </c>
    </row>
    <row r="45" spans="1:8" x14ac:dyDescent="0.35">
      <c r="A45" s="42">
        <v>45567</v>
      </c>
      <c r="B45" s="43">
        <v>10</v>
      </c>
      <c r="C45" s="44" t="s">
        <v>54</v>
      </c>
      <c r="D45" s="17" t="s">
        <v>21</v>
      </c>
      <c r="E45" t="s">
        <v>135</v>
      </c>
      <c r="F45">
        <v>4000</v>
      </c>
      <c r="G45">
        <v>240000</v>
      </c>
      <c r="H45">
        <v>41</v>
      </c>
    </row>
    <row r="46" spans="1:8" x14ac:dyDescent="0.35">
      <c r="A46" s="42">
        <v>45598</v>
      </c>
      <c r="B46" s="43">
        <v>11</v>
      </c>
      <c r="C46" s="44" t="s">
        <v>54</v>
      </c>
      <c r="D46" s="17" t="s">
        <v>21</v>
      </c>
      <c r="E46" t="s">
        <v>136</v>
      </c>
      <c r="F46">
        <v>4000</v>
      </c>
      <c r="G46">
        <v>240000</v>
      </c>
      <c r="H46">
        <v>42</v>
      </c>
    </row>
    <row r="47" spans="1:8" x14ac:dyDescent="0.35">
      <c r="A47" s="42">
        <v>45628</v>
      </c>
      <c r="B47" s="43">
        <v>12</v>
      </c>
      <c r="C47" s="44" t="s">
        <v>54</v>
      </c>
      <c r="D47" s="17" t="s">
        <v>21</v>
      </c>
      <c r="E47" t="s">
        <v>137</v>
      </c>
      <c r="F47">
        <v>5000</v>
      </c>
      <c r="G47">
        <v>300000</v>
      </c>
      <c r="H47">
        <v>43</v>
      </c>
    </row>
    <row r="48" spans="1:8" x14ac:dyDescent="0.35">
      <c r="A48" s="42">
        <v>45499</v>
      </c>
      <c r="B48" s="43">
        <v>7</v>
      </c>
      <c r="C48" s="44" t="s">
        <v>55</v>
      </c>
      <c r="D48" s="17" t="s">
        <v>52</v>
      </c>
      <c r="E48" t="s">
        <v>138</v>
      </c>
      <c r="F48">
        <v>2</v>
      </c>
      <c r="G48">
        <v>120</v>
      </c>
      <c r="H48">
        <v>44</v>
      </c>
    </row>
    <row r="49" spans="1:8" x14ac:dyDescent="0.35">
      <c r="A49" s="42">
        <v>45499</v>
      </c>
      <c r="B49" s="43">
        <v>7</v>
      </c>
      <c r="C49" s="44" t="s">
        <v>55</v>
      </c>
      <c r="D49" s="17" t="s">
        <v>45</v>
      </c>
      <c r="E49" t="s">
        <v>139</v>
      </c>
      <c r="F49">
        <v>200</v>
      </c>
      <c r="G49">
        <v>12000</v>
      </c>
      <c r="H49">
        <v>45</v>
      </c>
    </row>
    <row r="50" spans="1:8" x14ac:dyDescent="0.35">
      <c r="A50" s="42">
        <v>45499</v>
      </c>
      <c r="B50" s="43">
        <v>7</v>
      </c>
      <c r="C50" s="44" t="s">
        <v>55</v>
      </c>
      <c r="D50" s="17" t="s">
        <v>79</v>
      </c>
      <c r="E50" t="s">
        <v>141</v>
      </c>
      <c r="F50">
        <v>200</v>
      </c>
      <c r="G50">
        <v>12000</v>
      </c>
      <c r="H50">
        <v>46</v>
      </c>
    </row>
    <row r="51" spans="1:8" ht="16" x14ac:dyDescent="0.4">
      <c r="A51" s="36" t="s">
        <v>25</v>
      </c>
      <c r="B51" s="36"/>
      <c r="C51" s="36"/>
      <c r="D51" s="36"/>
      <c r="E51" s="36"/>
      <c r="F51" s="40">
        <f>SUBTOTAL(109,depense[montant]) + [1]!depensesJuillet24[[#Totals],[montant]]</f>
        <v>41805</v>
      </c>
      <c r="G51" s="39">
        <f>SUM(depense[montant_CFA])</f>
        <v>2508300</v>
      </c>
      <c r="H51" s="36"/>
    </row>
  </sheetData>
  <conditionalFormatting sqref="F5:F50">
    <cfRule type="colorScale" priority="1">
      <colorScale>
        <cfvo type="min"/>
        <cfvo type="percentile" val="50"/>
        <cfvo type="max"/>
        <color theme="0" tint="-0.14999847407452621"/>
        <color theme="5" tint="0.59999389629810485"/>
        <color rgb="FFC00000"/>
      </colorScale>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utton9_Click">
                <anchor moveWithCells="1" sizeWithCells="1">
                  <from>
                    <xdr:col>4</xdr:col>
                    <xdr:colOff>120650</xdr:colOff>
                    <xdr:row>1</xdr:row>
                    <xdr:rowOff>6350</xdr:rowOff>
                  </from>
                  <to>
                    <xdr:col>4</xdr:col>
                    <xdr:colOff>2457450</xdr:colOff>
                    <xdr:row>2</xdr:row>
                    <xdr:rowOff>165100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1C998-B1C0-4F14-B792-730BEB3EC2BD}">
  <sheetPr codeName="Sheet2"/>
  <dimension ref="A1:V41"/>
  <sheetViews>
    <sheetView showGridLines="0" tabSelected="1" view="pageLayout" zoomScale="51" zoomScaleNormal="100" zoomScalePageLayoutView="51" workbookViewId="0">
      <selection activeCell="U11" sqref="U11"/>
    </sheetView>
  </sheetViews>
  <sheetFormatPr defaultRowHeight="14.5" x14ac:dyDescent="0.35"/>
  <cols>
    <col min="4" max="4" width="2.26953125" customWidth="1"/>
    <col min="8" max="8" width="2.81640625" customWidth="1"/>
    <col min="12" max="12" width="2.90625" customWidth="1"/>
    <col min="21" max="21" width="12.26953125" bestFit="1" customWidth="1"/>
    <col min="22" max="22" width="18" customWidth="1"/>
    <col min="26" max="26" width="2.54296875" customWidth="1"/>
    <col min="30" max="30" width="2.90625" customWidth="1"/>
    <col min="34" max="34" width="2.81640625" customWidth="1"/>
  </cols>
  <sheetData>
    <row r="1" spans="1:22" ht="89" customHeight="1" x14ac:dyDescent="0.35">
      <c r="A1" s="56" t="s">
        <v>87</v>
      </c>
      <c r="B1" s="57"/>
      <c r="C1" s="57"/>
      <c r="D1" s="57"/>
      <c r="E1" s="57"/>
      <c r="F1" s="57"/>
      <c r="G1" s="57"/>
      <c r="H1" s="57"/>
      <c r="I1" s="57"/>
      <c r="J1" s="57"/>
      <c r="K1" s="57"/>
      <c r="L1" s="57"/>
      <c r="M1" s="57"/>
      <c r="N1" s="57"/>
      <c r="O1" s="57"/>
      <c r="P1" s="57"/>
      <c r="Q1" s="57"/>
      <c r="R1" s="57"/>
      <c r="S1" s="57"/>
      <c r="T1" s="57"/>
      <c r="U1" s="57"/>
      <c r="V1" s="57"/>
    </row>
    <row r="2" spans="1:22" ht="15" thickBot="1" x14ac:dyDescent="0.4"/>
    <row r="3" spans="1:22" ht="14.5" customHeight="1" x14ac:dyDescent="0.35">
      <c r="A3" s="58" t="str">
        <f>GETPIVOTDATA("[Measures].[TotalRevenue]",charts!$A$88)&amp; " MAD"</f>
        <v>28070 MAD</v>
      </c>
      <c r="B3" s="59"/>
      <c r="C3" s="60"/>
      <c r="E3" s="58" t="str">
        <f>GETPIVOTDATA("[Measures].[TotalDepense]",charts!$A$88)&amp; " MAD"</f>
        <v>41805 MAD</v>
      </c>
      <c r="F3" s="59"/>
      <c r="G3" s="60"/>
      <c r="I3" s="58" t="str">
        <f>GETPIVOTDATA("[Measures].[TotalReste]",charts!$A$88)&amp; " MAD"</f>
        <v>-13735 MAD</v>
      </c>
      <c r="J3" s="59"/>
      <c r="K3" s="60"/>
      <c r="M3" s="58" t="str">
        <f>charts!E89 &amp; " MAD"</f>
        <v>-2747 MAD</v>
      </c>
      <c r="N3" s="59"/>
      <c r="O3" s="60"/>
    </row>
    <row r="4" spans="1:22" ht="14.5" customHeight="1" x14ac:dyDescent="0.35">
      <c r="A4" s="61"/>
      <c r="B4" s="62"/>
      <c r="C4" s="63"/>
      <c r="E4" s="61"/>
      <c r="F4" s="62"/>
      <c r="G4" s="63"/>
      <c r="I4" s="61"/>
      <c r="J4" s="62"/>
      <c r="K4" s="63"/>
      <c r="M4" s="61"/>
      <c r="N4" s="62"/>
      <c r="O4" s="63"/>
    </row>
    <row r="5" spans="1:22" ht="15" customHeight="1" thickBot="1" x14ac:dyDescent="0.4">
      <c r="A5" s="64"/>
      <c r="B5" s="65"/>
      <c r="C5" s="66"/>
      <c r="E5" s="64"/>
      <c r="F5" s="65"/>
      <c r="G5" s="66"/>
      <c r="I5" s="64"/>
      <c r="J5" s="65"/>
      <c r="K5" s="66"/>
      <c r="M5" s="64"/>
      <c r="N5" s="65"/>
      <c r="O5" s="66"/>
    </row>
    <row r="6" spans="1:22" ht="17.5" x14ac:dyDescent="0.35">
      <c r="A6" s="55" t="s">
        <v>88</v>
      </c>
      <c r="B6" s="55"/>
      <c r="C6" s="55"/>
      <c r="E6" s="55" t="s">
        <v>20</v>
      </c>
      <c r="F6" s="55"/>
      <c r="G6" s="55"/>
      <c r="I6" s="55" t="s">
        <v>40</v>
      </c>
      <c r="J6" s="55"/>
      <c r="K6" s="55"/>
      <c r="M6" s="55" t="s">
        <v>89</v>
      </c>
      <c r="N6" s="55"/>
      <c r="O6" s="55"/>
    </row>
    <row r="8" spans="1:22" x14ac:dyDescent="0.35">
      <c r="U8" s="16" t="s">
        <v>116</v>
      </c>
      <c r="V8" t="s">
        <v>100</v>
      </c>
    </row>
    <row r="9" spans="1:22" x14ac:dyDescent="0.35">
      <c r="U9" s="17" t="s">
        <v>145</v>
      </c>
      <c r="V9" s="67">
        <v>4920</v>
      </c>
    </row>
    <row r="10" spans="1:22" x14ac:dyDescent="0.35">
      <c r="U10" s="17" t="s">
        <v>150</v>
      </c>
      <c r="V10" s="67">
        <v>3403</v>
      </c>
    </row>
    <row r="11" spans="1:22" x14ac:dyDescent="0.35">
      <c r="U11" s="17" t="s">
        <v>155</v>
      </c>
      <c r="V11" s="67">
        <v>4810</v>
      </c>
    </row>
    <row r="12" spans="1:22" x14ac:dyDescent="0.35">
      <c r="U12" s="17" t="s">
        <v>159</v>
      </c>
      <c r="V12" s="67">
        <v>3000</v>
      </c>
    </row>
    <row r="13" spans="1:22" x14ac:dyDescent="0.35">
      <c r="U13" s="17" t="s">
        <v>162</v>
      </c>
      <c r="V13" s="67">
        <v>3500</v>
      </c>
    </row>
    <row r="14" spans="1:22" x14ac:dyDescent="0.35">
      <c r="U14" s="17" t="s">
        <v>165</v>
      </c>
      <c r="V14" s="67">
        <v>3500</v>
      </c>
    </row>
    <row r="15" spans="1:22" x14ac:dyDescent="0.35">
      <c r="U15" s="17" t="s">
        <v>92</v>
      </c>
      <c r="V15" s="67">
        <v>1772</v>
      </c>
    </row>
    <row r="16" spans="1:22" x14ac:dyDescent="0.35">
      <c r="U16" s="17" t="s">
        <v>172</v>
      </c>
      <c r="V16" s="67">
        <v>3900</v>
      </c>
    </row>
    <row r="17" spans="21:22" x14ac:dyDescent="0.35">
      <c r="U17" s="17" t="s">
        <v>175</v>
      </c>
      <c r="V17" s="67">
        <v>4000</v>
      </c>
    </row>
    <row r="18" spans="21:22" x14ac:dyDescent="0.35">
      <c r="U18" s="17" t="s">
        <v>178</v>
      </c>
      <c r="V18" s="67">
        <v>4000</v>
      </c>
    </row>
    <row r="19" spans="21:22" x14ac:dyDescent="0.35">
      <c r="U19" s="17" t="s">
        <v>180</v>
      </c>
      <c r="V19" s="67">
        <v>5000</v>
      </c>
    </row>
    <row r="20" spans="21:22" x14ac:dyDescent="0.35">
      <c r="U20" s="17" t="s">
        <v>43</v>
      </c>
      <c r="V20" s="67">
        <v>41805</v>
      </c>
    </row>
    <row r="21" spans="21:22" ht="15" thickBot="1" x14ac:dyDescent="0.4"/>
    <row r="22" spans="21:22" x14ac:dyDescent="0.35">
      <c r="U22" s="51"/>
      <c r="V22" s="52"/>
    </row>
    <row r="23" spans="21:22" ht="15" thickBot="1" x14ac:dyDescent="0.4">
      <c r="U23" s="53"/>
      <c r="V23" s="54"/>
    </row>
    <row r="25" spans="21:22" x14ac:dyDescent="0.35">
      <c r="U25" s="16" t="s">
        <v>116</v>
      </c>
      <c r="V25" t="s">
        <v>88</v>
      </c>
    </row>
    <row r="26" spans="21:22" x14ac:dyDescent="0.35">
      <c r="U26" s="17" t="s">
        <v>145</v>
      </c>
      <c r="V26" s="67">
        <v>4600</v>
      </c>
    </row>
    <row r="27" spans="21:22" x14ac:dyDescent="0.35">
      <c r="U27" s="17" t="s">
        <v>150</v>
      </c>
      <c r="V27" s="67">
        <v>2494</v>
      </c>
    </row>
    <row r="28" spans="21:22" x14ac:dyDescent="0.35">
      <c r="U28" s="17" t="s">
        <v>155</v>
      </c>
      <c r="V28" s="67">
        <v>2500</v>
      </c>
    </row>
    <row r="29" spans="21:22" x14ac:dyDescent="0.35">
      <c r="U29" s="17" t="s">
        <v>159</v>
      </c>
      <c r="V29" s="67">
        <v>550</v>
      </c>
    </row>
    <row r="30" spans="21:22" x14ac:dyDescent="0.35">
      <c r="U30" s="17" t="s">
        <v>162</v>
      </c>
      <c r="V30" s="67">
        <v>100</v>
      </c>
    </row>
    <row r="31" spans="21:22" x14ac:dyDescent="0.35">
      <c r="U31" s="17" t="s">
        <v>165</v>
      </c>
      <c r="V31" s="67">
        <v>1240</v>
      </c>
    </row>
    <row r="32" spans="21:22" x14ac:dyDescent="0.35">
      <c r="U32" s="17" t="s">
        <v>92</v>
      </c>
      <c r="V32" s="67">
        <v>11646</v>
      </c>
    </row>
    <row r="33" spans="21:22" x14ac:dyDescent="0.35">
      <c r="U33" s="17" t="s">
        <v>168</v>
      </c>
      <c r="V33" s="67">
        <v>1000</v>
      </c>
    </row>
    <row r="34" spans="21:22" x14ac:dyDescent="0.35">
      <c r="U34" s="17" t="s">
        <v>175</v>
      </c>
      <c r="V34" s="67">
        <v>3940</v>
      </c>
    </row>
    <row r="35" spans="21:22" x14ac:dyDescent="0.35">
      <c r="U35" s="17" t="s">
        <v>43</v>
      </c>
      <c r="V35" s="67">
        <v>28070</v>
      </c>
    </row>
    <row r="39" spans="21:22" ht="15" thickBot="1" x14ac:dyDescent="0.4"/>
    <row r="40" spans="21:22" x14ac:dyDescent="0.35">
      <c r="U40" s="51"/>
      <c r="V40" s="52"/>
    </row>
    <row r="41" spans="21:22" ht="15" thickBot="1" x14ac:dyDescent="0.4">
      <c r="U41" s="53"/>
      <c r="V41" s="54"/>
    </row>
  </sheetData>
  <mergeCells count="11">
    <mergeCell ref="U22:V23"/>
    <mergeCell ref="U40:V41"/>
    <mergeCell ref="M6:O6"/>
    <mergeCell ref="A1:V1"/>
    <mergeCell ref="A3:C5"/>
    <mergeCell ref="E3:G5"/>
    <mergeCell ref="A6:C6"/>
    <mergeCell ref="E6:G6"/>
    <mergeCell ref="I3:K5"/>
    <mergeCell ref="I6:K6"/>
    <mergeCell ref="M3:O5"/>
  </mergeCells>
  <conditionalFormatting pivot="1" sqref="V26:V34">
    <cfRule type="colorScale" priority="2">
      <colorScale>
        <cfvo type="min"/>
        <cfvo type="percentile" val="50"/>
        <cfvo type="max"/>
        <color theme="0"/>
        <color rgb="FFFFEB84"/>
        <color rgb="FFFF9900"/>
      </colorScale>
    </cfRule>
  </conditionalFormatting>
  <conditionalFormatting pivot="1" sqref="V9:V10 V15:V16">
    <cfRule type="colorScale" priority="1">
      <colorScale>
        <cfvo type="min"/>
        <cfvo type="percentile" val="50"/>
        <cfvo type="max"/>
        <color theme="0"/>
        <color rgb="FFFFEB84"/>
        <color rgb="FFFF9900"/>
      </colorScale>
    </cfRule>
  </conditionalFormatting>
  <pageMargins left="0.7" right="0.7" top="0.75" bottom="0.75" header="0.3" footer="0.3"/>
  <pageSetup paperSize="8" orientation="landscape" r:id="rId3"/>
  <headerFooter>
    <oddHeader>&amp;CHermann KAKPEU</oddHeader>
    <oddFooter>&amp;CBy  Hermann KAKPEU</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8195" r:id="rId6" name="Button 3">
              <controlPr defaultSize="0" print="0" autoFill="0" autoPict="0" macro="[0]!Button8_Click">
                <anchor moveWithCells="1" sizeWithCells="1">
                  <from>
                    <xdr:col>20</xdr:col>
                    <xdr:colOff>25400</xdr:colOff>
                    <xdr:row>38</xdr:row>
                    <xdr:rowOff>114300</xdr:rowOff>
                  </from>
                  <to>
                    <xdr:col>21</xdr:col>
                    <xdr:colOff>1244600</xdr:colOff>
                    <xdr:row>41</xdr:row>
                    <xdr:rowOff>25400</xdr:rowOff>
                  </to>
                </anchor>
              </controlPr>
            </control>
          </mc:Choice>
        </mc:AlternateContent>
        <mc:AlternateContent xmlns:mc="http://schemas.openxmlformats.org/markup-compatibility/2006">
          <mc:Choice Requires="x14">
            <control shapeId="8196" r:id="rId7" name="Button 4">
              <controlPr defaultSize="0" print="0" autoFill="0" autoPict="0" macro="[0]!Button9_Click">
                <anchor moveWithCells="1" sizeWithCells="1">
                  <from>
                    <xdr:col>20</xdr:col>
                    <xdr:colOff>25400</xdr:colOff>
                    <xdr:row>20</xdr:row>
                    <xdr:rowOff>158750</xdr:rowOff>
                  </from>
                  <to>
                    <xdr:col>21</xdr:col>
                    <xdr:colOff>1270000</xdr:colOff>
                    <xdr:row>23</xdr:row>
                    <xdr:rowOff>12700</xdr:rowOff>
                  </to>
                </anchor>
              </controlPr>
            </control>
          </mc:Choice>
        </mc:AlternateContent>
        <mc:AlternateContent xmlns:mc="http://schemas.openxmlformats.org/markup-compatibility/2006">
          <mc:Choice Requires="x14">
            <control shapeId="8198" r:id="rId8" name="Button 6">
              <controlPr defaultSize="0" print="0" autoFill="0" autoPict="0" macro="[0]!Rafraichir">
                <anchor moveWithCells="1" sizeWithCells="1">
                  <from>
                    <xdr:col>19</xdr:col>
                    <xdr:colOff>400050</xdr:colOff>
                    <xdr:row>0</xdr:row>
                    <xdr:rowOff>241300</xdr:rowOff>
                  </from>
                  <to>
                    <xdr:col>21</xdr:col>
                    <xdr:colOff>1047750</xdr:colOff>
                    <xdr:row>0</xdr:row>
                    <xdr:rowOff>908050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D5C9-BDAD-4900-9E24-CF299BFC9FE0}">
  <sheetPr codeName="Sheet1"/>
  <dimension ref="A3:AC144"/>
  <sheetViews>
    <sheetView topLeftCell="A79" zoomScale="91" workbookViewId="0">
      <selection activeCell="E90" sqref="E90"/>
    </sheetView>
  </sheetViews>
  <sheetFormatPr defaultRowHeight="14.5" x14ac:dyDescent="0.35"/>
  <cols>
    <col min="1" max="1" width="12.6328125" bestFit="1" customWidth="1"/>
    <col min="2" max="3" width="12.1796875" bestFit="1" customWidth="1"/>
    <col min="4" max="4" width="12.6328125" bestFit="1" customWidth="1"/>
    <col min="5" max="5" width="12.26953125" bestFit="1" customWidth="1"/>
    <col min="6" max="6" width="12.6328125" bestFit="1" customWidth="1"/>
    <col min="7" max="7" width="12.26953125" bestFit="1" customWidth="1"/>
    <col min="10" max="10" width="12.6328125" bestFit="1" customWidth="1"/>
    <col min="11" max="11" width="12.1796875" bestFit="1" customWidth="1"/>
    <col min="12" max="12" width="12.6328125" bestFit="1" customWidth="1"/>
    <col min="13" max="13" width="12.1796875" bestFit="1" customWidth="1"/>
    <col min="17" max="17" width="17.08984375" bestFit="1" customWidth="1"/>
    <col min="18" max="18" width="14.1796875" bestFit="1" customWidth="1"/>
    <col min="27" max="27" width="12.6328125" bestFit="1" customWidth="1"/>
    <col min="28" max="28" width="8.26953125" bestFit="1" customWidth="1"/>
    <col min="29" max="30" width="9.6328125" bestFit="1" customWidth="1"/>
  </cols>
  <sheetData>
    <row r="3" spans="1:2" x14ac:dyDescent="0.35">
      <c r="A3" s="16" t="s">
        <v>42</v>
      </c>
      <c r="B3" t="s">
        <v>44</v>
      </c>
    </row>
    <row r="4" spans="1:2" x14ac:dyDescent="0.35">
      <c r="A4" s="17" t="s">
        <v>38</v>
      </c>
      <c r="B4">
        <v>96</v>
      </c>
    </row>
    <row r="5" spans="1:2" x14ac:dyDescent="0.35">
      <c r="A5" s="17" t="s">
        <v>39</v>
      </c>
      <c r="B5">
        <v>10</v>
      </c>
    </row>
    <row r="6" spans="1:2" x14ac:dyDescent="0.35">
      <c r="A6" s="17" t="s">
        <v>22</v>
      </c>
      <c r="B6">
        <v>177</v>
      </c>
    </row>
    <row r="7" spans="1:2" x14ac:dyDescent="0.35">
      <c r="A7" s="17" t="s">
        <v>41</v>
      </c>
      <c r="B7">
        <v>268.89999999999998</v>
      </c>
    </row>
    <row r="8" spans="1:2" x14ac:dyDescent="0.35">
      <c r="A8" s="17" t="s">
        <v>23</v>
      </c>
      <c r="B8">
        <v>98</v>
      </c>
    </row>
    <row r="9" spans="1:2" x14ac:dyDescent="0.35">
      <c r="A9" s="17" t="s">
        <v>43</v>
      </c>
      <c r="B9">
        <v>649.9</v>
      </c>
    </row>
    <row r="19" spans="1:2" x14ac:dyDescent="0.35">
      <c r="A19" s="16" t="s">
        <v>42</v>
      </c>
      <c r="B19" t="s">
        <v>48</v>
      </c>
    </row>
    <row r="20" spans="1:2" x14ac:dyDescent="0.35">
      <c r="A20" s="17" t="s">
        <v>46</v>
      </c>
      <c r="B20">
        <v>70</v>
      </c>
    </row>
    <row r="21" spans="1:2" x14ac:dyDescent="0.35">
      <c r="A21" s="17" t="s">
        <v>38</v>
      </c>
      <c r="B21">
        <v>96</v>
      </c>
    </row>
    <row r="22" spans="1:2" x14ac:dyDescent="0.35">
      <c r="A22" s="17" t="s">
        <v>39</v>
      </c>
      <c r="B22">
        <v>10</v>
      </c>
    </row>
    <row r="23" spans="1:2" x14ac:dyDescent="0.35">
      <c r="A23" s="17" t="s">
        <v>22</v>
      </c>
      <c r="B23">
        <v>177</v>
      </c>
    </row>
    <row r="24" spans="1:2" x14ac:dyDescent="0.35">
      <c r="A24" s="17" t="s">
        <v>41</v>
      </c>
      <c r="B24">
        <v>268.89999999999998</v>
      </c>
    </row>
    <row r="25" spans="1:2" x14ac:dyDescent="0.35">
      <c r="A25" s="17" t="s">
        <v>23</v>
      </c>
      <c r="B25">
        <v>98</v>
      </c>
    </row>
    <row r="26" spans="1:2" x14ac:dyDescent="0.35">
      <c r="A26" s="17" t="s">
        <v>47</v>
      </c>
    </row>
    <row r="27" spans="1:2" x14ac:dyDescent="0.35">
      <c r="A27" s="17" t="s">
        <v>43</v>
      </c>
      <c r="B27">
        <v>719.9</v>
      </c>
    </row>
    <row r="36" spans="1:13" x14ac:dyDescent="0.35">
      <c r="A36" s="19"/>
      <c r="B36" s="20"/>
      <c r="C36" s="21"/>
    </row>
    <row r="37" spans="1:13" x14ac:dyDescent="0.35">
      <c r="A37" s="22"/>
      <c r="B37" s="23"/>
      <c r="C37" s="24"/>
      <c r="L37" s="16" t="s">
        <v>42</v>
      </c>
      <c r="M37" t="s">
        <v>93</v>
      </c>
    </row>
    <row r="38" spans="1:13" x14ac:dyDescent="0.35">
      <c r="A38" s="22"/>
      <c r="B38" s="23"/>
      <c r="C38" s="24"/>
      <c r="L38" s="17" t="s">
        <v>19</v>
      </c>
      <c r="M38" s="67">
        <v>1300</v>
      </c>
    </row>
    <row r="39" spans="1:13" x14ac:dyDescent="0.35">
      <c r="A39" s="22"/>
      <c r="B39" s="23"/>
      <c r="C39" s="24"/>
      <c r="L39" s="17" t="s">
        <v>36</v>
      </c>
      <c r="M39" s="67">
        <v>7859</v>
      </c>
    </row>
    <row r="40" spans="1:13" x14ac:dyDescent="0.35">
      <c r="A40" s="22"/>
      <c r="B40" s="23"/>
      <c r="C40" s="24"/>
      <c r="L40" s="17" t="s">
        <v>18</v>
      </c>
      <c r="M40" s="67">
        <v>18911</v>
      </c>
    </row>
    <row r="41" spans="1:13" x14ac:dyDescent="0.35">
      <c r="A41" s="22"/>
      <c r="B41" s="23"/>
      <c r="C41" s="24"/>
      <c r="L41" s="17" t="s">
        <v>43</v>
      </c>
      <c r="M41" s="67">
        <v>28070</v>
      </c>
    </row>
    <row r="42" spans="1:13" x14ac:dyDescent="0.35">
      <c r="A42" s="22"/>
      <c r="B42" s="23"/>
      <c r="C42" s="24"/>
    </row>
    <row r="43" spans="1:13" x14ac:dyDescent="0.35">
      <c r="A43" s="22"/>
      <c r="B43" s="23"/>
      <c r="C43" s="24"/>
    </row>
    <row r="44" spans="1:13" x14ac:dyDescent="0.35">
      <c r="A44" s="22"/>
      <c r="B44" s="23"/>
      <c r="C44" s="24"/>
    </row>
    <row r="45" spans="1:13" x14ac:dyDescent="0.35">
      <c r="A45" s="22"/>
      <c r="B45" s="23"/>
      <c r="C45" s="24"/>
    </row>
    <row r="46" spans="1:13" x14ac:dyDescent="0.35">
      <c r="A46" s="22"/>
      <c r="B46" s="23"/>
      <c r="C46" s="24"/>
    </row>
    <row r="47" spans="1:13" x14ac:dyDescent="0.35">
      <c r="A47" s="22"/>
      <c r="B47" s="23"/>
      <c r="C47" s="24"/>
    </row>
    <row r="48" spans="1:13" x14ac:dyDescent="0.35">
      <c r="A48" s="22"/>
      <c r="B48" s="23"/>
      <c r="C48" s="24"/>
    </row>
    <row r="49" spans="1:3" x14ac:dyDescent="0.35">
      <c r="A49" s="22"/>
      <c r="B49" s="23"/>
      <c r="C49" s="24"/>
    </row>
    <row r="50" spans="1:3" x14ac:dyDescent="0.35">
      <c r="A50" s="22"/>
      <c r="B50" s="23"/>
      <c r="C50" s="24"/>
    </row>
    <row r="51" spans="1:3" x14ac:dyDescent="0.35">
      <c r="A51" s="22"/>
      <c r="B51" s="23"/>
      <c r="C51" s="24"/>
    </row>
    <row r="52" spans="1:3" x14ac:dyDescent="0.35">
      <c r="A52" s="22"/>
      <c r="B52" s="23"/>
      <c r="C52" s="24"/>
    </row>
    <row r="53" spans="1:3" x14ac:dyDescent="0.35">
      <c r="A53" s="25"/>
      <c r="B53" s="26"/>
      <c r="C53" s="27"/>
    </row>
    <row r="55" spans="1:3" x14ac:dyDescent="0.35">
      <c r="A55" s="16" t="s">
        <v>42</v>
      </c>
    </row>
    <row r="56" spans="1:3" x14ac:dyDescent="0.35">
      <c r="A56" s="28">
        <v>1</v>
      </c>
    </row>
    <row r="57" spans="1:3" x14ac:dyDescent="0.35">
      <c r="A57" s="28" t="s">
        <v>43</v>
      </c>
    </row>
    <row r="68" spans="17:29" x14ac:dyDescent="0.35">
      <c r="AA68" s="16" t="s">
        <v>42</v>
      </c>
      <c r="AB68" t="s">
        <v>100</v>
      </c>
      <c r="AC68" t="s">
        <v>50</v>
      </c>
    </row>
    <row r="69" spans="17:29" x14ac:dyDescent="0.35">
      <c r="AA69" s="17" t="s">
        <v>145</v>
      </c>
      <c r="AB69" s="67"/>
      <c r="AC69" s="67"/>
    </row>
    <row r="70" spans="17:29" x14ac:dyDescent="0.35">
      <c r="AA70" s="29" t="s">
        <v>146</v>
      </c>
      <c r="AB70" s="67">
        <v>3350</v>
      </c>
      <c r="AC70" s="67">
        <v>450</v>
      </c>
    </row>
    <row r="71" spans="17:29" x14ac:dyDescent="0.35">
      <c r="Q71" t="s">
        <v>117</v>
      </c>
      <c r="AA71" s="29" t="s">
        <v>147</v>
      </c>
      <c r="AB71" s="67">
        <v>870</v>
      </c>
      <c r="AC71" s="67">
        <v>-70</v>
      </c>
    </row>
    <row r="72" spans="17:29" x14ac:dyDescent="0.35">
      <c r="Q72" s="67">
        <v>908.804347826087</v>
      </c>
      <c r="AA72" s="29" t="s">
        <v>148</v>
      </c>
      <c r="AB72" s="67">
        <v>400</v>
      </c>
      <c r="AC72" s="67">
        <v>-400</v>
      </c>
    </row>
    <row r="73" spans="17:29" x14ac:dyDescent="0.35">
      <c r="AA73" s="29" t="s">
        <v>149</v>
      </c>
      <c r="AB73" s="67">
        <v>300</v>
      </c>
      <c r="AC73" s="67">
        <v>-300</v>
      </c>
    </row>
    <row r="74" spans="17:29" x14ac:dyDescent="0.35">
      <c r="AA74" s="17" t="s">
        <v>150</v>
      </c>
      <c r="AB74" s="67"/>
      <c r="AC74" s="67"/>
    </row>
    <row r="75" spans="17:29" x14ac:dyDescent="0.35">
      <c r="AA75" s="29" t="s">
        <v>151</v>
      </c>
      <c r="AB75" s="67">
        <v>130</v>
      </c>
      <c r="AC75" s="67">
        <v>1270</v>
      </c>
    </row>
    <row r="76" spans="17:29" x14ac:dyDescent="0.35">
      <c r="AA76" s="29" t="s">
        <v>152</v>
      </c>
      <c r="AB76" s="67"/>
      <c r="AC76" s="67">
        <v>1094</v>
      </c>
    </row>
    <row r="77" spans="17:29" x14ac:dyDescent="0.35">
      <c r="AA77" s="29" t="s">
        <v>153</v>
      </c>
      <c r="AB77" s="67">
        <v>3000</v>
      </c>
      <c r="AC77" s="67">
        <v>-3000</v>
      </c>
    </row>
    <row r="78" spans="17:29" x14ac:dyDescent="0.35">
      <c r="AA78" s="29" t="s">
        <v>154</v>
      </c>
      <c r="AB78" s="67">
        <v>273</v>
      </c>
      <c r="AC78" s="67">
        <v>-273</v>
      </c>
    </row>
    <row r="79" spans="17:29" x14ac:dyDescent="0.35">
      <c r="AA79" s="17" t="s">
        <v>155</v>
      </c>
      <c r="AB79" s="67"/>
      <c r="AC79" s="67"/>
    </row>
    <row r="80" spans="17:29" x14ac:dyDescent="0.35">
      <c r="AA80" s="29" t="s">
        <v>156</v>
      </c>
      <c r="AB80" s="67">
        <v>3150</v>
      </c>
      <c r="AC80" s="67">
        <v>-2150</v>
      </c>
    </row>
    <row r="81" spans="1:29" x14ac:dyDescent="0.35">
      <c r="AA81" s="29" t="s">
        <v>157</v>
      </c>
      <c r="AB81" s="67">
        <v>860</v>
      </c>
      <c r="AC81" s="67">
        <v>-860</v>
      </c>
    </row>
    <row r="82" spans="1:29" x14ac:dyDescent="0.35">
      <c r="AA82" s="29" t="s">
        <v>158</v>
      </c>
      <c r="AB82" s="67">
        <v>800</v>
      </c>
      <c r="AC82" s="67">
        <v>-800</v>
      </c>
    </row>
    <row r="83" spans="1:29" x14ac:dyDescent="0.35">
      <c r="AA83" s="29" t="s">
        <v>154</v>
      </c>
      <c r="AB83" s="67"/>
      <c r="AC83" s="67">
        <v>1500</v>
      </c>
    </row>
    <row r="84" spans="1:29" x14ac:dyDescent="0.35">
      <c r="AA84" s="17" t="s">
        <v>159</v>
      </c>
      <c r="AB84" s="67"/>
      <c r="AC84" s="67"/>
    </row>
    <row r="85" spans="1:29" x14ac:dyDescent="0.35">
      <c r="AA85" s="29" t="s">
        <v>160</v>
      </c>
      <c r="AB85" s="67">
        <v>3000</v>
      </c>
      <c r="AC85" s="67">
        <v>-3000</v>
      </c>
    </row>
    <row r="86" spans="1:29" x14ac:dyDescent="0.35">
      <c r="AA86" s="29" t="s">
        <v>161</v>
      </c>
      <c r="AB86" s="67"/>
      <c r="AC86" s="67">
        <v>550</v>
      </c>
    </row>
    <row r="87" spans="1:29" x14ac:dyDescent="0.35">
      <c r="AA87" s="17" t="s">
        <v>162</v>
      </c>
      <c r="AB87" s="67"/>
      <c r="AC87" s="67"/>
    </row>
    <row r="88" spans="1:29" x14ac:dyDescent="0.35">
      <c r="A88" t="s">
        <v>94</v>
      </c>
      <c r="B88" t="s">
        <v>95</v>
      </c>
      <c r="C88" t="s">
        <v>93</v>
      </c>
      <c r="AA88" s="29" t="s">
        <v>163</v>
      </c>
      <c r="AB88" s="67">
        <v>3500</v>
      </c>
      <c r="AC88" s="67">
        <v>-3500</v>
      </c>
    </row>
    <row r="89" spans="1:29" x14ac:dyDescent="0.35">
      <c r="A89" s="67">
        <v>41805</v>
      </c>
      <c r="B89" s="67">
        <v>-13735</v>
      </c>
      <c r="C89" s="67">
        <v>28070</v>
      </c>
      <c r="E89">
        <f>GETPIVOTDATA("[Measures].[TotalReste]",$A$88)*0.2</f>
        <v>-2747</v>
      </c>
      <c r="AA89" s="29" t="s">
        <v>164</v>
      </c>
      <c r="AB89" s="67"/>
      <c r="AC89" s="67">
        <v>100</v>
      </c>
    </row>
    <row r="90" spans="1:29" x14ac:dyDescent="0.35">
      <c r="AA90" s="17" t="s">
        <v>165</v>
      </c>
      <c r="AB90" s="67"/>
      <c r="AC90" s="67"/>
    </row>
    <row r="91" spans="1:29" x14ac:dyDescent="0.35">
      <c r="AA91" s="29" t="s">
        <v>166</v>
      </c>
      <c r="AB91" s="67">
        <v>3500</v>
      </c>
      <c r="AC91" s="67">
        <v>-3500</v>
      </c>
    </row>
    <row r="92" spans="1:29" x14ac:dyDescent="0.35">
      <c r="AA92" s="29" t="s">
        <v>167</v>
      </c>
      <c r="AB92" s="67"/>
      <c r="AC92" s="67">
        <v>1000</v>
      </c>
    </row>
    <row r="93" spans="1:29" x14ac:dyDescent="0.35">
      <c r="F93" s="16" t="s">
        <v>42</v>
      </c>
      <c r="G93" t="s">
        <v>94</v>
      </c>
      <c r="J93" s="16" t="s">
        <v>42</v>
      </c>
      <c r="K93" t="s">
        <v>93</v>
      </c>
      <c r="AA93" s="29" t="s">
        <v>96</v>
      </c>
      <c r="AB93" s="67"/>
      <c r="AC93" s="67">
        <v>240</v>
      </c>
    </row>
    <row r="94" spans="1:29" x14ac:dyDescent="0.35">
      <c r="F94" s="17" t="s">
        <v>145</v>
      </c>
      <c r="G94" s="67">
        <v>4920</v>
      </c>
      <c r="J94" s="17" t="s">
        <v>145</v>
      </c>
      <c r="K94" s="67">
        <v>4600</v>
      </c>
      <c r="AA94" s="17" t="s">
        <v>92</v>
      </c>
      <c r="AB94" s="67"/>
      <c r="AC94" s="67"/>
    </row>
    <row r="95" spans="1:29" x14ac:dyDescent="0.35">
      <c r="F95" s="17" t="s">
        <v>150</v>
      </c>
      <c r="G95" s="67">
        <v>3403</v>
      </c>
      <c r="J95" s="17" t="s">
        <v>150</v>
      </c>
      <c r="K95" s="67">
        <v>2494</v>
      </c>
      <c r="AA95" s="29" t="s">
        <v>96</v>
      </c>
      <c r="AB95" s="67"/>
      <c r="AC95" s="67">
        <v>1373</v>
      </c>
    </row>
    <row r="96" spans="1:29" x14ac:dyDescent="0.35">
      <c r="F96" s="17" t="s">
        <v>155</v>
      </c>
      <c r="G96" s="67">
        <v>4810</v>
      </c>
      <c r="J96" s="17" t="s">
        <v>155</v>
      </c>
      <c r="K96" s="67">
        <v>2500</v>
      </c>
      <c r="AA96" s="29" t="s">
        <v>97</v>
      </c>
      <c r="AB96" s="67"/>
      <c r="AC96" s="67">
        <v>7441</v>
      </c>
    </row>
    <row r="97" spans="1:29" x14ac:dyDescent="0.35">
      <c r="F97" s="17" t="s">
        <v>159</v>
      </c>
      <c r="G97" s="67">
        <v>3000</v>
      </c>
      <c r="J97" s="17" t="s">
        <v>159</v>
      </c>
      <c r="K97" s="67">
        <v>550</v>
      </c>
      <c r="AA97" s="29" t="s">
        <v>98</v>
      </c>
      <c r="AB97" s="67"/>
      <c r="AC97" s="67">
        <v>2630</v>
      </c>
    </row>
    <row r="98" spans="1:29" x14ac:dyDescent="0.35">
      <c r="F98" s="17" t="s">
        <v>162</v>
      </c>
      <c r="G98" s="67">
        <v>3500</v>
      </c>
      <c r="J98" s="17" t="s">
        <v>162</v>
      </c>
      <c r="K98" s="67">
        <v>100</v>
      </c>
      <c r="AA98" s="29" t="s">
        <v>99</v>
      </c>
      <c r="AB98" s="67">
        <v>1772</v>
      </c>
      <c r="AC98" s="67">
        <v>-1570</v>
      </c>
    </row>
    <row r="99" spans="1:29" x14ac:dyDescent="0.35">
      <c r="F99" s="17" t="s">
        <v>165</v>
      </c>
      <c r="G99" s="67">
        <v>3500</v>
      </c>
      <c r="J99" s="17" t="s">
        <v>165</v>
      </c>
      <c r="K99" s="67">
        <v>1240</v>
      </c>
      <c r="AA99" s="17" t="s">
        <v>168</v>
      </c>
      <c r="AB99" s="67"/>
      <c r="AC99" s="67"/>
    </row>
    <row r="100" spans="1:29" x14ac:dyDescent="0.35">
      <c r="F100" s="17" t="s">
        <v>92</v>
      </c>
      <c r="G100" s="67">
        <v>1772</v>
      </c>
      <c r="J100" s="17" t="s">
        <v>92</v>
      </c>
      <c r="K100" s="67">
        <v>11646</v>
      </c>
      <c r="AA100" s="29" t="s">
        <v>169</v>
      </c>
      <c r="AB100" s="67"/>
      <c r="AC100" s="67">
        <v>400</v>
      </c>
    </row>
    <row r="101" spans="1:29" x14ac:dyDescent="0.35">
      <c r="F101" s="17" t="s">
        <v>172</v>
      </c>
      <c r="G101" s="67">
        <v>3900</v>
      </c>
      <c r="J101" s="17" t="s">
        <v>168</v>
      </c>
      <c r="K101" s="67">
        <v>1000</v>
      </c>
      <c r="AA101" s="29" t="s">
        <v>170</v>
      </c>
      <c r="AB101" s="67"/>
      <c r="AC101" s="67">
        <v>500</v>
      </c>
    </row>
    <row r="102" spans="1:29" x14ac:dyDescent="0.35">
      <c r="F102" s="17" t="s">
        <v>175</v>
      </c>
      <c r="G102" s="67">
        <v>4000</v>
      </c>
      <c r="J102" s="17" t="s">
        <v>175</v>
      </c>
      <c r="K102" s="67">
        <v>3940</v>
      </c>
      <c r="AA102" s="29" t="s">
        <v>171</v>
      </c>
      <c r="AB102" s="67"/>
      <c r="AC102" s="67">
        <v>100</v>
      </c>
    </row>
    <row r="103" spans="1:29" x14ac:dyDescent="0.35">
      <c r="F103" s="17" t="s">
        <v>178</v>
      </c>
      <c r="G103" s="67">
        <v>4000</v>
      </c>
      <c r="J103" s="17" t="s">
        <v>43</v>
      </c>
      <c r="K103" s="67">
        <v>28070</v>
      </c>
      <c r="AA103" s="17" t="s">
        <v>172</v>
      </c>
      <c r="AB103" s="67"/>
      <c r="AC103" s="67"/>
    </row>
    <row r="104" spans="1:29" x14ac:dyDescent="0.35">
      <c r="F104" s="17" t="s">
        <v>180</v>
      </c>
      <c r="G104" s="67">
        <v>5000</v>
      </c>
      <c r="AA104" s="29" t="s">
        <v>173</v>
      </c>
      <c r="AB104" s="67">
        <v>3500</v>
      </c>
      <c r="AC104" s="67">
        <v>-3500</v>
      </c>
    </row>
    <row r="105" spans="1:29" x14ac:dyDescent="0.35">
      <c r="F105" s="17" t="s">
        <v>43</v>
      </c>
      <c r="G105" s="67">
        <v>41805</v>
      </c>
      <c r="AA105" s="29" t="s">
        <v>174</v>
      </c>
      <c r="AB105" s="67">
        <v>400</v>
      </c>
      <c r="AC105" s="67">
        <v>-400</v>
      </c>
    </row>
    <row r="106" spans="1:29" x14ac:dyDescent="0.35">
      <c r="AA106" s="17" t="s">
        <v>175</v>
      </c>
      <c r="AB106" s="67"/>
      <c r="AC106" s="67"/>
    </row>
    <row r="107" spans="1:29" x14ac:dyDescent="0.35">
      <c r="AA107" s="29" t="s">
        <v>176</v>
      </c>
      <c r="AB107" s="67">
        <v>4000</v>
      </c>
      <c r="AC107" s="67">
        <v>-4000</v>
      </c>
    </row>
    <row r="108" spans="1:29" x14ac:dyDescent="0.35">
      <c r="AA108" s="29" t="s">
        <v>177</v>
      </c>
      <c r="AB108" s="67"/>
      <c r="AC108" s="67">
        <v>3940</v>
      </c>
    </row>
    <row r="109" spans="1:29" x14ac:dyDescent="0.35">
      <c r="AA109" s="17" t="s">
        <v>178</v>
      </c>
      <c r="AB109" s="67"/>
      <c r="AC109" s="67"/>
    </row>
    <row r="110" spans="1:29" x14ac:dyDescent="0.35">
      <c r="AA110" s="29" t="s">
        <v>179</v>
      </c>
      <c r="AB110" s="67">
        <v>4000</v>
      </c>
      <c r="AC110" s="67">
        <v>-4000</v>
      </c>
    </row>
    <row r="111" spans="1:29" x14ac:dyDescent="0.35">
      <c r="AA111" s="17" t="s">
        <v>180</v>
      </c>
      <c r="AB111" s="67"/>
      <c r="AC111" s="67"/>
    </row>
    <row r="112" spans="1:29" x14ac:dyDescent="0.35">
      <c r="A112" s="16" t="s">
        <v>42</v>
      </c>
      <c r="B112" t="s">
        <v>90</v>
      </c>
      <c r="AA112" s="29" t="s">
        <v>181</v>
      </c>
      <c r="AB112" s="67">
        <v>5000</v>
      </c>
      <c r="AC112" s="67">
        <v>-5000</v>
      </c>
    </row>
    <row r="113" spans="1:29" x14ac:dyDescent="0.35">
      <c r="A113" s="17" t="s">
        <v>45</v>
      </c>
      <c r="B113" s="67">
        <v>1100</v>
      </c>
      <c r="AA113" s="17" t="s">
        <v>43</v>
      </c>
      <c r="AB113" s="67">
        <v>41805</v>
      </c>
      <c r="AC113" s="67">
        <v>-13735</v>
      </c>
    </row>
    <row r="114" spans="1:29" x14ac:dyDescent="0.35">
      <c r="A114" s="17" t="s">
        <v>52</v>
      </c>
      <c r="B114" s="67">
        <v>2</v>
      </c>
    </row>
    <row r="115" spans="1:29" x14ac:dyDescent="0.35">
      <c r="A115" s="17" t="s">
        <v>29</v>
      </c>
      <c r="B115" s="67">
        <v>300</v>
      </c>
    </row>
    <row r="116" spans="1:29" x14ac:dyDescent="0.35">
      <c r="A116" s="17" t="s">
        <v>28</v>
      </c>
      <c r="B116" s="67">
        <v>300</v>
      </c>
    </row>
    <row r="117" spans="1:29" x14ac:dyDescent="0.35">
      <c r="A117" s="17" t="s">
        <v>27</v>
      </c>
      <c r="B117" s="67">
        <v>210</v>
      </c>
    </row>
    <row r="118" spans="1:29" x14ac:dyDescent="0.35">
      <c r="A118" s="17" t="s">
        <v>79</v>
      </c>
      <c r="B118" s="67">
        <v>930</v>
      </c>
    </row>
    <row r="119" spans="1:29" x14ac:dyDescent="0.35">
      <c r="A119" s="17" t="s">
        <v>26</v>
      </c>
      <c r="B119" s="67">
        <v>173</v>
      </c>
    </row>
    <row r="120" spans="1:29" x14ac:dyDescent="0.35">
      <c r="A120" s="17" t="s">
        <v>80</v>
      </c>
      <c r="B120" s="67">
        <v>770</v>
      </c>
    </row>
    <row r="121" spans="1:29" x14ac:dyDescent="0.35">
      <c r="A121" s="17" t="s">
        <v>21</v>
      </c>
      <c r="B121" s="67">
        <v>36500</v>
      </c>
    </row>
    <row r="122" spans="1:29" x14ac:dyDescent="0.35">
      <c r="A122" s="17" t="s">
        <v>30</v>
      </c>
      <c r="B122" s="67">
        <v>550</v>
      </c>
    </row>
    <row r="123" spans="1:29" x14ac:dyDescent="0.35">
      <c r="A123" s="17" t="s">
        <v>56</v>
      </c>
      <c r="B123" s="67">
        <v>300</v>
      </c>
    </row>
    <row r="124" spans="1:29" x14ac:dyDescent="0.35">
      <c r="A124" s="17" t="s">
        <v>57</v>
      </c>
      <c r="B124" s="67">
        <v>670</v>
      </c>
    </row>
    <row r="125" spans="1:29" x14ac:dyDescent="0.35">
      <c r="A125" s="17" t="s">
        <v>43</v>
      </c>
      <c r="B125" s="67">
        <v>41805</v>
      </c>
    </row>
    <row r="137" spans="1:7" x14ac:dyDescent="0.35">
      <c r="A137" s="16" t="s">
        <v>42</v>
      </c>
      <c r="B137" t="s">
        <v>93</v>
      </c>
      <c r="D137" s="16" t="s">
        <v>42</v>
      </c>
      <c r="E137" t="s">
        <v>94</v>
      </c>
    </row>
    <row r="138" spans="1:7" x14ac:dyDescent="0.35">
      <c r="A138" s="17" t="s">
        <v>54</v>
      </c>
      <c r="B138" s="67">
        <v>144832</v>
      </c>
      <c r="D138" s="17" t="s">
        <v>54</v>
      </c>
      <c r="E138" s="67">
        <v>34960</v>
      </c>
      <c r="G138">
        <f>GETPIVOTDATA("[Measures].[TotalRevenue]",$A$137,"[revenuXYZ].[source]","[revenuXYZ].[source].&amp;[Banque]")-GETPIVOTDATA("[Measures].[TotalDepense]",$D$137,"[depense].[source]","[depense].[source].&amp;[Banque]")</f>
        <v>109872</v>
      </c>
    </row>
    <row r="139" spans="1:7" x14ac:dyDescent="0.35">
      <c r="A139" s="17" t="s">
        <v>55</v>
      </c>
      <c r="B139" s="67">
        <v>9159</v>
      </c>
      <c r="D139" s="17" t="s">
        <v>55</v>
      </c>
      <c r="E139" s="67">
        <v>6845</v>
      </c>
      <c r="G139">
        <f>GETPIVOTDATA("[Measures].[TotalRevenue]",$A$137,"[revenuXYZ].[source]","[revenuXYZ].[source].&amp;[Portefeuille]")-GETPIVOTDATA("[Measures].[TotalDepense]",$D$137,"[depense].[source]","[depense].[source].&amp;[Portefeuille]")</f>
        <v>2314</v>
      </c>
    </row>
    <row r="140" spans="1:7" x14ac:dyDescent="0.35">
      <c r="A140" s="17" t="s">
        <v>43</v>
      </c>
      <c r="B140" s="67">
        <v>153991</v>
      </c>
      <c r="D140" s="17" t="s">
        <v>43</v>
      </c>
      <c r="E140" s="67">
        <v>41805</v>
      </c>
    </row>
    <row r="144" spans="1:7" x14ac:dyDescent="0.35">
      <c r="D144" t="s">
        <v>144</v>
      </c>
    </row>
  </sheetData>
  <pageMargins left="0.7" right="0.7" top="0.75" bottom="0.75" header="0.3" footer="0.3"/>
  <drawing r:id="rId1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0D84DDBA-4C33-4BF2-89D7-81686F837BEA}">
  <ds:schemaRefs/>
</ds:datastoreItem>
</file>

<file path=customXml/itemProps2.xml><?xml version="1.0" encoding="utf-8"?>
<ds:datastoreItem xmlns:ds="http://schemas.openxmlformats.org/officeDocument/2006/customXml" ds:itemID="{CF1B0157-9790-408B-A551-510D4DE08013}">
  <ds:schemaRefs/>
</ds:datastoreItem>
</file>

<file path=customXml/itemProps3.xml><?xml version="1.0" encoding="utf-8"?>
<ds:datastoreItem xmlns:ds="http://schemas.openxmlformats.org/officeDocument/2006/customXml" ds:itemID="{2F0727AF-4104-4917-917A-635FDD722647}">
  <ds:schemaRefs/>
</ds:datastoreItem>
</file>

<file path=customXml/itemProps4.xml><?xml version="1.0" encoding="utf-8"?>
<ds:datastoreItem xmlns:ds="http://schemas.openxmlformats.org/officeDocument/2006/customXml" ds:itemID="{1CE0D231-4152-4EF3-8CF1-33F1F6E2157D}">
  <ds:schemaRefs/>
</ds:datastoreItem>
</file>

<file path=customXml/itemProps5.xml><?xml version="1.0" encoding="utf-8"?>
<ds:datastoreItem xmlns:ds="http://schemas.openxmlformats.org/officeDocument/2006/customXml" ds:itemID="{BD432DFC-EFFB-42FE-A52C-3F062A2BFE0B}">
  <ds:schemaRefs/>
</ds:datastoreItem>
</file>

<file path=customXml/itemProps6.xml><?xml version="1.0" encoding="utf-8"?>
<ds:datastoreItem xmlns:ds="http://schemas.openxmlformats.org/officeDocument/2006/customXml" ds:itemID="{FB2C1C9D-0175-454E-9D67-0CC538704AA7}">
  <ds:schemaRefs/>
</ds:datastoreItem>
</file>

<file path=customXml/itemProps7.xml><?xml version="1.0" encoding="utf-8"?>
<ds:datastoreItem xmlns:ds="http://schemas.openxmlformats.org/officeDocument/2006/customXml" ds:itemID="{AB8BCA49-39D0-43C8-BDEA-C8DD578C1C07}">
  <ds:schemaRefs/>
</ds:datastoreItem>
</file>

<file path=customXml/itemProps8.xml><?xml version="1.0" encoding="utf-8"?>
<ds:datastoreItem xmlns:ds="http://schemas.openxmlformats.org/officeDocument/2006/customXml" ds:itemID="{5B284616-C55D-430A-935D-5FE0CDB1B9D8}">
  <ds:schemaRefs/>
</ds:datastoreItem>
</file>

<file path=customXml/itemProps9.xml><?xml version="1.0" encoding="utf-8"?>
<ds:datastoreItem xmlns:ds="http://schemas.openxmlformats.org/officeDocument/2006/customXml" ds:itemID="{E0BD1211-0540-4418-87B3-7849D25D2148}">
  <ds:schemaRefs/>
</ds:datastoreItem>
</file>

<file path=customXml/itemProps10.xml><?xml version="1.0" encoding="utf-8"?>
<ds:datastoreItem xmlns:ds="http://schemas.openxmlformats.org/officeDocument/2006/customXml" ds:itemID="{5EA6E8A1-4D9E-4BFA-A097-D9E24DA0ED57}">
  <ds:schemaRefs/>
</ds:datastoreItem>
</file>

<file path=customXml/itemProps11.xml><?xml version="1.0" encoding="utf-8"?>
<ds:datastoreItem xmlns:ds="http://schemas.openxmlformats.org/officeDocument/2006/customXml" ds:itemID="{F3581703-FBBE-4F1E-A75F-45C2302A237F}">
  <ds:schemaRefs/>
</ds:datastoreItem>
</file>

<file path=customXml/itemProps12.xml><?xml version="1.0" encoding="utf-8"?>
<ds:datastoreItem xmlns:ds="http://schemas.openxmlformats.org/officeDocument/2006/customXml" ds:itemID="{3E24FE76-2DE7-4D81-A60B-A10F58A73705}">
  <ds:schemaRefs/>
</ds:datastoreItem>
</file>

<file path=customXml/itemProps13.xml><?xml version="1.0" encoding="utf-8"?>
<ds:datastoreItem xmlns:ds="http://schemas.openxmlformats.org/officeDocument/2006/customXml" ds:itemID="{6985E032-1607-4701-A2DE-BA457340DD1F}">
  <ds:schemaRefs/>
</ds:datastoreItem>
</file>

<file path=customXml/itemProps14.xml><?xml version="1.0" encoding="utf-8"?>
<ds:datastoreItem xmlns:ds="http://schemas.openxmlformats.org/officeDocument/2006/customXml" ds:itemID="{1D35021A-8F1D-428F-8417-1E2AE8E1F282}">
  <ds:schemaRefs/>
</ds:datastoreItem>
</file>

<file path=customXml/itemProps15.xml><?xml version="1.0" encoding="utf-8"?>
<ds:datastoreItem xmlns:ds="http://schemas.openxmlformats.org/officeDocument/2006/customXml" ds:itemID="{D073279D-ABA5-47DC-B1F5-A42EAA90F47E}">
  <ds:schemaRefs/>
</ds:datastoreItem>
</file>

<file path=customXml/itemProps16.xml><?xml version="1.0" encoding="utf-8"?>
<ds:datastoreItem xmlns:ds="http://schemas.openxmlformats.org/officeDocument/2006/customXml" ds:itemID="{8CEB1163-2474-49EE-AD40-A6F827D6A612}">
  <ds:schemaRefs/>
</ds:datastoreItem>
</file>

<file path=customXml/itemProps17.xml><?xml version="1.0" encoding="utf-8"?>
<ds:datastoreItem xmlns:ds="http://schemas.openxmlformats.org/officeDocument/2006/customXml" ds:itemID="{73D17680-CE1E-4EE9-84C8-C3C4A6E04D9F}">
  <ds:schemaRefs/>
</ds:datastoreItem>
</file>

<file path=customXml/itemProps18.xml><?xml version="1.0" encoding="utf-8"?>
<ds:datastoreItem xmlns:ds="http://schemas.openxmlformats.org/officeDocument/2006/customXml" ds:itemID="{DA67B22B-8C60-4738-A9F0-9C994FB7CDD8}">
  <ds:schemaRefs/>
</ds:datastoreItem>
</file>

<file path=customXml/itemProps19.xml><?xml version="1.0" encoding="utf-8"?>
<ds:datastoreItem xmlns:ds="http://schemas.openxmlformats.org/officeDocument/2006/customXml" ds:itemID="{BCD44530-BD85-47F0-A725-D8EBB46E5FB7}">
  <ds:schemaRefs/>
</ds:datastoreItem>
</file>

<file path=customXml/itemProps20.xml><?xml version="1.0" encoding="utf-8"?>
<ds:datastoreItem xmlns:ds="http://schemas.openxmlformats.org/officeDocument/2006/customXml" ds:itemID="{BDB049A9-5C48-4307-A8FA-B0152A192C07}">
  <ds:schemaRefs/>
</ds:datastoreItem>
</file>

<file path=customXml/itemProps21.xml><?xml version="1.0" encoding="utf-8"?>
<ds:datastoreItem xmlns:ds="http://schemas.openxmlformats.org/officeDocument/2006/customXml" ds:itemID="{B2D9DFB8-D008-447F-8125-10F5E77FFD3B}">
  <ds:schemaRefs/>
</ds:datastoreItem>
</file>

<file path=customXml/itemProps22.xml><?xml version="1.0" encoding="utf-8"?>
<ds:datastoreItem xmlns:ds="http://schemas.openxmlformats.org/officeDocument/2006/customXml" ds:itemID="{03BE2785-D845-4D5C-9C7F-26E2E62DE6E4}">
  <ds:schemaRefs/>
</ds:datastoreItem>
</file>

<file path=customXml/itemProps23.xml><?xml version="1.0" encoding="utf-8"?>
<ds:datastoreItem xmlns:ds="http://schemas.openxmlformats.org/officeDocument/2006/customXml" ds:itemID="{35A043CE-2BDA-4902-A48B-381038F8686C}">
  <ds:schemaRefs/>
</ds:datastoreItem>
</file>

<file path=customXml/itemProps24.xml><?xml version="1.0" encoding="utf-8"?>
<ds:datastoreItem xmlns:ds="http://schemas.openxmlformats.org/officeDocument/2006/customXml" ds:itemID="{505A1E3A-AC39-47BD-B794-F0FA039AA757}">
  <ds:schemaRefs/>
</ds:datastoreItem>
</file>

<file path=customXml/itemProps25.xml><?xml version="1.0" encoding="utf-8"?>
<ds:datastoreItem xmlns:ds="http://schemas.openxmlformats.org/officeDocument/2006/customXml" ds:itemID="{3E2530B1-1580-44BE-84B0-678565BBC9E0}">
  <ds:schemaRefs/>
</ds:datastoreItem>
</file>

<file path=customXml/itemProps26.xml><?xml version="1.0" encoding="utf-8"?>
<ds:datastoreItem xmlns:ds="http://schemas.openxmlformats.org/officeDocument/2006/customXml" ds:itemID="{6A1D70B2-50AA-4295-B7BF-9BFEB847C5E5}">
  <ds:schemaRefs/>
</ds:datastoreItem>
</file>

<file path=customXml/itemProps27.xml><?xml version="1.0" encoding="utf-8"?>
<ds:datastoreItem xmlns:ds="http://schemas.openxmlformats.org/officeDocument/2006/customXml" ds:itemID="{C0E2F1CB-D5EC-458C-AF3E-8FCBB81A6FE8}">
  <ds:schemaRefs/>
</ds:datastoreItem>
</file>

<file path=customXml/itemProps28.xml><?xml version="1.0" encoding="utf-8"?>
<ds:datastoreItem xmlns:ds="http://schemas.openxmlformats.org/officeDocument/2006/customXml" ds:itemID="{88DC6050-A23C-4D62-A709-0E7CA7A80519}">
  <ds:schemaRefs/>
</ds:datastoreItem>
</file>

<file path=customXml/itemProps29.xml><?xml version="1.0" encoding="utf-8"?>
<ds:datastoreItem xmlns:ds="http://schemas.openxmlformats.org/officeDocument/2006/customXml" ds:itemID="{96CEB682-3613-4A75-94DF-08533120F6DC}">
  <ds:schemaRefs/>
</ds:datastoreItem>
</file>

<file path=customXml/itemProps30.xml><?xml version="1.0" encoding="utf-8"?>
<ds:datastoreItem xmlns:ds="http://schemas.openxmlformats.org/officeDocument/2006/customXml" ds:itemID="{E32F5997-9D05-46A0-B89E-F8D467799163}">
  <ds:schemaRefs/>
</ds:datastoreItem>
</file>

<file path=customXml/itemProps31.xml><?xml version="1.0" encoding="utf-8"?>
<ds:datastoreItem xmlns:ds="http://schemas.openxmlformats.org/officeDocument/2006/customXml" ds:itemID="{68658778-71B7-456E-8644-0DE608BE0FEE}">
  <ds:schemaRefs/>
</ds:datastoreItem>
</file>

<file path=customXml/itemProps32.xml><?xml version="1.0" encoding="utf-8"?>
<ds:datastoreItem xmlns:ds="http://schemas.openxmlformats.org/officeDocument/2006/customXml" ds:itemID="{BBC71DE2-7F05-4DF3-8001-6431ECA1119C}">
  <ds:schemaRefs/>
</ds:datastoreItem>
</file>

<file path=customXml/itemProps33.xml><?xml version="1.0" encoding="utf-8"?>
<ds:datastoreItem xmlns:ds="http://schemas.openxmlformats.org/officeDocument/2006/customXml" ds:itemID="{FE1DCD3D-CB05-4492-B296-E1B2106B18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Rapport</vt:lpstr>
      <vt:lpstr>Revenue</vt:lpstr>
      <vt:lpstr>Depense</vt:lpstr>
      <vt:lpstr>Dashboard</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Hermann Desire Kakpeu</dc:creator>
  <cp:lastModifiedBy>Hermann Desire Kakpeu</cp:lastModifiedBy>
  <cp:lastPrinted>2024-07-26T14:20:11Z</cp:lastPrinted>
  <dcterms:created xsi:type="dcterms:W3CDTF">2024-06-05T13:46:32Z</dcterms:created>
  <dcterms:modified xsi:type="dcterms:W3CDTF">2024-07-30T00:46:26Z</dcterms:modified>
</cp:coreProperties>
</file>