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5.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6.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slicers/slicer1.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202300"/>
  <mc:AlternateContent xmlns:mc="http://schemas.openxmlformats.org/markup-compatibility/2006">
    <mc:Choice Requires="x15">
      <x15ac:absPath xmlns:x15ac="http://schemas.microsoft.com/office/spreadsheetml/2010/11/ac" url="C:\Users\pc\Desktop\INGENIEUR_CENTRALIEN\DATA_ANALYST\CODE_BASICS_BootCamp\EXCEL\Assignments\PROJECT_Excel\"/>
    </mc:Choice>
  </mc:AlternateContent>
  <xr:revisionPtr revIDLastSave="0" documentId="13_ncr:1_{B1863691-11CD-41C6-A7E4-8A7F2A2D31D1}" xr6:coauthVersionLast="47" xr6:coauthVersionMax="47" xr10:uidLastSave="{00000000-0000-0000-0000-000000000000}"/>
  <bookViews>
    <workbookView xWindow="-110" yWindow="-110" windowWidth="19420" windowHeight="11020" xr2:uid="{7E4259A8-9701-4384-A4DD-05C6B53C3F67}"/>
  </bookViews>
  <sheets>
    <sheet name="Rapport" sheetId="1" r:id="rId1"/>
    <sheet name="charts" sheetId="5" state="hidden" r:id="rId2"/>
    <sheet name="Date" sheetId="9" state="hidden" r:id="rId3"/>
    <sheet name="Revenue" sheetId="7" state="hidden" r:id="rId4"/>
    <sheet name="Depense" sheetId="8" state="hidden" r:id="rId5"/>
    <sheet name="Epargne" sheetId="11" state="hidden" r:id="rId6"/>
    <sheet name="Budget" sheetId="12" state="hidden" r:id="rId7"/>
    <sheet name="Dashboard" sheetId="6" r:id="rId8"/>
    <sheet name="Calculs" sheetId="10" state="hidden" r:id="rId9"/>
  </sheets>
  <externalReferences>
    <externalReference r:id="rId10"/>
  </externalReferences>
  <definedNames>
    <definedName name="_xlcn.WorksheetConnection_My_Finances_With_VBAversion2.xlsmdepense1" hidden="1">depense[]</definedName>
    <definedName name="_xlcn.WorksheetConnection_My_Finances_With_VBAversion2.xlsmmaison1" hidden="1">maison[]</definedName>
    <definedName name="_xlcn.WorksheetConnection_My_Finances_With_VBAversion2.xlsmnourriture1" hidden="1">nourriture[]</definedName>
    <definedName name="_xlcn.WorksheetConnection_My_Finances_With_VBAversion2.xlsmrevenue1" hidden="1">revenue[]</definedName>
    <definedName name="_xlcn.WorksheetConnection_My_Finances_With_VBAversion2.xlsmrevenuXYZ1" hidden="1">revenuXYZ[]</definedName>
    <definedName name="_xlcn.WorksheetConnection_My_Finances_With_VBAversion2.xlsmTable141" hidden="1">Table14[]</definedName>
    <definedName name="_xlcn.WorksheetConnection_My_Finances_With_VBAversion2.xlsmtransport1" hidden="1">transport[]</definedName>
    <definedName name="_xlcn.WorksheetConnection_My_Personal_Finances_With_VBACopie.xlsmdime1" hidden="1">dime[]</definedName>
    <definedName name="_xlcn.WorksheetConnection_My_Personal_Finances_With_VBACopie.xlsmEpargne1" hidden="1">Epargne[]</definedName>
    <definedName name="Slicer_Caegorie">#N/A</definedName>
    <definedName name="Slicer_categorie1">#N/A</definedName>
    <definedName name="Slicer_Date__Month">#N/A</definedName>
    <definedName name="Slicer_Date__Year">#N/A</definedName>
  </definedNames>
  <calcPr calcId="191029"/>
  <pivotCaches>
    <pivotCache cacheId="0" r:id="rId11"/>
    <pivotCache cacheId="1" r:id="rId12"/>
    <pivotCache cacheId="862" r:id="rId13"/>
    <pivotCache cacheId="1082" r:id="rId14"/>
    <pivotCache cacheId="1085" r:id="rId15"/>
    <pivotCache cacheId="1088" r:id="rId16"/>
    <pivotCache cacheId="1091" r:id="rId17"/>
    <pivotCache cacheId="1094" r:id="rId18"/>
    <pivotCache cacheId="1097" r:id="rId19"/>
    <pivotCache cacheId="1100" r:id="rId20"/>
    <pivotCache cacheId="1103" r:id="rId21"/>
    <pivotCache cacheId="1106" r:id="rId22"/>
    <pivotCache cacheId="1109" r:id="rId23"/>
    <pivotCache cacheId="1112" r:id="rId24"/>
    <pivotCache cacheId="1121" r:id="rId25"/>
  </pivotCaches>
  <extLst>
    <ext xmlns:x14="http://schemas.microsoft.com/office/spreadsheetml/2009/9/main" uri="{876F7934-8845-4945-9796-88D515C7AA90}">
      <x14:pivotCaches>
        <pivotCache cacheId="1081" r:id="rId26"/>
      </x14:pivotCaches>
    </ext>
    <ext xmlns:x14="http://schemas.microsoft.com/office/spreadsheetml/2009/9/main" uri="{BBE1A952-AA13-448e-AADC-164F8A28A991}">
      <x14:slicerCaches>
        <x14:slicerCache r:id="rId27"/>
        <x14:slicerCache r:id="rId28"/>
        <x14:slicerCache r:id="rId29"/>
        <x14:slicerCache r:id="rId3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ransport" name="transport" connection="WorksheetConnection_My_Finances_With_VBA (version 2).xlsm!transport"/>
          <x15:modelTable id="Table14" name="Date" connection="WorksheetConnection_My_Finances_With_VBA (version 2).xlsm!Table14"/>
          <x15:modelTable id="revenuXYZ" name="revenuXYZ" connection="WorksheetConnection_My_Finances_With_VBA (version 2).xlsm!revenuXYZ"/>
          <x15:modelTable id="revenue" name="revenue" connection="WorksheetConnection_My_Finances_With_VBA (version 2).xlsm!revenue"/>
          <x15:modelTable id="nourriture" name="nourriture" connection="WorksheetConnection_My_Finances_With_VBA (version 2).xlsm!nourriture"/>
          <x15:modelTable id="maison" name="maison" connection="WorksheetConnection_My_Finances_With_VBA (version 2).xlsm!maison"/>
          <x15:modelTable id="depense" name="depense" connection="WorksheetConnection_My_Finances_With_VBA (version 2).xlsm!depense"/>
          <x15:modelTable id="Epargne" name="Epargne" connection="WorksheetConnection_My_Personal_Finances_With_VBA - Copie.xlsm!Epargne"/>
          <x15:modelTable id="dime" name="dime" connection="WorksheetConnection_My_Personal_Finances_With_VBA - Copie.xlsm!dime"/>
        </x15:modelTables>
        <x15:modelRelationships>
          <x15:modelRelationship fromTable="revenuXYZ" fromColumn="Date" toTable="Date" toColumn="Date"/>
          <x15:modelRelationship fromTable="depense" fromColumn="Date" toTable="Date" toColumn="Date"/>
          <x15:modelRelationship fromTable="Epargne" fromColumn="date" toTable="Date" toColumn="Date"/>
          <x15:modelRelationship fromTable="dime" fromColumn="Date" toTable="Date" toColumn="Date"/>
        </x15:modelRelationships>
        <x15:extLst>
          <ext xmlns:x16="http://schemas.microsoft.com/office/spreadsheetml/2014/11/main" uri="{9835A34E-60A6-4A7C-AAB8-D5F71C897F49}">
            <x16:modelTimeGroupings>
              <x16:modelTimeGrouping tableName="Date" columnName="Date" columnId="Date">
                <x16:calculatedTimeColumn columnName="Date (Year)" columnId="Date (Year)" contentType="years" isSelected="1"/>
                <x16:calculatedTimeColumn columnName="Date (Quarter)" columnId="Date (Quarter)" contentType="quarters" isSelected="1"/>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58" i="1" l="1"/>
  <c r="G58" i="1"/>
  <c r="H58" i="1"/>
  <c r="I58" i="1"/>
  <c r="J58" i="1"/>
  <c r="K58" i="1"/>
  <c r="L58" i="1"/>
  <c r="M58" i="1"/>
  <c r="N58" i="1"/>
  <c r="E58" i="1"/>
  <c r="K47" i="1"/>
  <c r="K48" i="1"/>
  <c r="M48" i="1" s="1"/>
  <c r="K49" i="1"/>
  <c r="K50" i="1"/>
  <c r="K51" i="1"/>
  <c r="K52" i="1"/>
  <c r="M52" i="1" s="1"/>
  <c r="K53" i="1"/>
  <c r="K54" i="1"/>
  <c r="M54" i="1" s="1"/>
  <c r="K55" i="1"/>
  <c r="K56" i="1"/>
  <c r="M56" i="1" s="1"/>
  <c r="K46" i="1"/>
  <c r="I47" i="1"/>
  <c r="I48" i="1"/>
  <c r="I49" i="1"/>
  <c r="I50" i="1"/>
  <c r="I51" i="1"/>
  <c r="I52" i="1"/>
  <c r="I53" i="1"/>
  <c r="I54" i="1"/>
  <c r="I55" i="1"/>
  <c r="I56" i="1"/>
  <c r="I46" i="1"/>
  <c r="G47" i="1"/>
  <c r="G48" i="1"/>
  <c r="G49" i="1"/>
  <c r="G50" i="1"/>
  <c r="G51" i="1"/>
  <c r="G52" i="1"/>
  <c r="G53" i="1"/>
  <c r="G54" i="1"/>
  <c r="G55" i="1"/>
  <c r="G56" i="1"/>
  <c r="G46" i="1"/>
  <c r="F47" i="1"/>
  <c r="F48" i="1"/>
  <c r="F49" i="1"/>
  <c r="F50" i="1"/>
  <c r="F51" i="1"/>
  <c r="F52" i="1"/>
  <c r="F53" i="1"/>
  <c r="F54" i="1"/>
  <c r="F55" i="1"/>
  <c r="F56" i="1"/>
  <c r="F46" i="1"/>
  <c r="O4" i="1"/>
  <c r="N4" i="1"/>
  <c r="M46" i="1"/>
  <c r="M47" i="1"/>
  <c r="M49" i="1"/>
  <c r="M50" i="1"/>
  <c r="M51" i="1"/>
  <c r="M53" i="1"/>
  <c r="M55" i="1"/>
  <c r="M57" i="1"/>
  <c r="M45" i="1"/>
  <c r="C2" i="9"/>
  <c r="C3" i="9"/>
  <c r="C4"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C70" i="9"/>
  <c r="C71" i="9"/>
  <c r="C72" i="9"/>
  <c r="C73" i="9"/>
  <c r="C74" i="9"/>
  <c r="C75" i="9"/>
  <c r="C76" i="9"/>
  <c r="C77" i="9"/>
  <c r="C78" i="9"/>
  <c r="C79" i="9"/>
  <c r="C80" i="9"/>
  <c r="C81" i="9"/>
  <c r="C82" i="9"/>
  <c r="C83" i="9"/>
  <c r="C84" i="9"/>
  <c r="C85" i="9"/>
  <c r="C86" i="9"/>
  <c r="C87" i="9"/>
  <c r="C88" i="9"/>
  <c r="C89" i="9"/>
  <c r="C90" i="9"/>
  <c r="C91" i="9"/>
  <c r="C92" i="9"/>
  <c r="C93" i="9"/>
  <c r="C94" i="9"/>
  <c r="C95" i="9"/>
  <c r="C96" i="9"/>
  <c r="C97" i="9"/>
  <c r="C98" i="9"/>
  <c r="C99" i="9"/>
  <c r="C100" i="9"/>
  <c r="C101" i="9"/>
  <c r="C102" i="9"/>
  <c r="C103" i="9"/>
  <c r="C104" i="9"/>
  <c r="C105" i="9"/>
  <c r="C106" i="9"/>
  <c r="C107" i="9"/>
  <c r="C108" i="9"/>
  <c r="C109" i="9"/>
  <c r="C110" i="9"/>
  <c r="C111" i="9"/>
  <c r="C112" i="9"/>
  <c r="C113" i="9"/>
  <c r="C114" i="9"/>
  <c r="C115" i="9"/>
  <c r="C116" i="9"/>
  <c r="C117" i="9"/>
  <c r="C118" i="9"/>
  <c r="C119" i="9"/>
  <c r="C120" i="9"/>
  <c r="C121" i="9"/>
  <c r="C122" i="9"/>
  <c r="C123" i="9"/>
  <c r="C124" i="9"/>
  <c r="C125" i="9"/>
  <c r="C126" i="9"/>
  <c r="C127" i="9"/>
  <c r="C128" i="9"/>
  <c r="C129" i="9"/>
  <c r="C130" i="9"/>
  <c r="C131" i="9"/>
  <c r="C132" i="9"/>
  <c r="C133" i="9"/>
  <c r="C134" i="9"/>
  <c r="C135" i="9"/>
  <c r="C136" i="9"/>
  <c r="C137" i="9"/>
  <c r="C138" i="9"/>
  <c r="C139" i="9"/>
  <c r="C140" i="9"/>
  <c r="C141" i="9"/>
  <c r="C142" i="9"/>
  <c r="C143" i="9"/>
  <c r="C144" i="9"/>
  <c r="C145" i="9"/>
  <c r="C146" i="9"/>
  <c r="C147" i="9"/>
  <c r="C148" i="9"/>
  <c r="C149" i="9"/>
  <c r="C150" i="9"/>
  <c r="C151" i="9"/>
  <c r="C152" i="9"/>
  <c r="C153" i="9"/>
  <c r="C154" i="9"/>
  <c r="C155" i="9"/>
  <c r="C156" i="9"/>
  <c r="C157" i="9"/>
  <c r="C158" i="9"/>
  <c r="C159" i="9"/>
  <c r="C160" i="9"/>
  <c r="C161" i="9"/>
  <c r="C162" i="9"/>
  <c r="C163" i="9"/>
  <c r="C164" i="9"/>
  <c r="C165" i="9"/>
  <c r="C166" i="9"/>
  <c r="C167" i="9"/>
  <c r="C168" i="9"/>
  <c r="C169" i="9"/>
  <c r="C170" i="9"/>
  <c r="C171" i="9"/>
  <c r="C172" i="9"/>
  <c r="C173" i="9"/>
  <c r="C174" i="9"/>
  <c r="C175" i="9"/>
  <c r="C176" i="9"/>
  <c r="C177" i="9"/>
  <c r="C178" i="9"/>
  <c r="C179" i="9"/>
  <c r="C180" i="9"/>
  <c r="C181" i="9"/>
  <c r="C182" i="9"/>
  <c r="C183" i="9"/>
  <c r="C184" i="9"/>
  <c r="C185" i="9"/>
  <c r="C186" i="9"/>
  <c r="C187" i="9"/>
  <c r="C188" i="9"/>
  <c r="C189" i="9"/>
  <c r="C190" i="9"/>
  <c r="C191" i="9"/>
  <c r="C192" i="9"/>
  <c r="C193" i="9"/>
  <c r="C194" i="9"/>
  <c r="C195" i="9"/>
  <c r="C196" i="9"/>
  <c r="C197" i="9"/>
  <c r="C198" i="9"/>
  <c r="C199" i="9"/>
  <c r="C200" i="9"/>
  <c r="C201" i="9"/>
  <c r="C202" i="9"/>
  <c r="C203" i="9"/>
  <c r="C204" i="9"/>
  <c r="C205" i="9"/>
  <c r="C206" i="9"/>
  <c r="C207" i="9"/>
  <c r="C208" i="9"/>
  <c r="C209" i="9"/>
  <c r="C210" i="9"/>
  <c r="C211" i="9"/>
  <c r="C212" i="9"/>
  <c r="C213" i="9"/>
  <c r="C214" i="9"/>
  <c r="C215" i="9"/>
  <c r="C216" i="9"/>
  <c r="C217" i="9"/>
  <c r="C218" i="9"/>
  <c r="C219" i="9"/>
  <c r="C220" i="9"/>
  <c r="C221" i="9"/>
  <c r="C222" i="9"/>
  <c r="C223" i="9"/>
  <c r="C224" i="9"/>
  <c r="C225" i="9"/>
  <c r="C226" i="9"/>
  <c r="C227" i="9"/>
  <c r="C228" i="9"/>
  <c r="C229" i="9"/>
  <c r="C230" i="9"/>
  <c r="C231" i="9"/>
  <c r="C232" i="9"/>
  <c r="C233" i="9"/>
  <c r="C234" i="9"/>
  <c r="C235" i="9"/>
  <c r="C236" i="9"/>
  <c r="C237" i="9"/>
  <c r="C238" i="9"/>
  <c r="C239" i="9"/>
  <c r="C240" i="9"/>
  <c r="C241" i="9"/>
  <c r="C242" i="9"/>
  <c r="C243" i="9"/>
  <c r="C244" i="9"/>
  <c r="C245" i="9"/>
  <c r="C246" i="9"/>
  <c r="C247" i="9"/>
  <c r="C248" i="9"/>
  <c r="C249" i="9"/>
  <c r="C250" i="9"/>
  <c r="C251" i="9"/>
  <c r="C252" i="9"/>
  <c r="C253" i="9"/>
  <c r="C254" i="9"/>
  <c r="C255" i="9"/>
  <c r="C256" i="9"/>
  <c r="C257" i="9"/>
  <c r="C258" i="9"/>
  <c r="C259" i="9"/>
  <c r="C260" i="9"/>
  <c r="C261" i="9"/>
  <c r="C262" i="9"/>
  <c r="C263" i="9"/>
  <c r="C264" i="9"/>
  <c r="C265" i="9"/>
  <c r="C266" i="9"/>
  <c r="C267" i="9"/>
  <c r="C268" i="9"/>
  <c r="C269" i="9"/>
  <c r="C270" i="9"/>
  <c r="C271" i="9"/>
  <c r="C272" i="9"/>
  <c r="C273" i="9"/>
  <c r="C274" i="9"/>
  <c r="C275" i="9"/>
  <c r="C276" i="9"/>
  <c r="C277" i="9"/>
  <c r="C278" i="9"/>
  <c r="C279" i="9"/>
  <c r="C280" i="9"/>
  <c r="C281" i="9"/>
  <c r="C282" i="9"/>
  <c r="C283" i="9"/>
  <c r="C284" i="9"/>
  <c r="C285" i="9"/>
  <c r="C286" i="9"/>
  <c r="C287" i="9"/>
  <c r="C288" i="9"/>
  <c r="C289" i="9"/>
  <c r="C290" i="9"/>
  <c r="C291" i="9"/>
  <c r="C292" i="9"/>
  <c r="C293" i="9"/>
  <c r="C294" i="9"/>
  <c r="C295" i="9"/>
  <c r="C296" i="9"/>
  <c r="C297" i="9"/>
  <c r="C298" i="9"/>
  <c r="C299" i="9"/>
  <c r="C300" i="9"/>
  <c r="C301" i="9"/>
  <c r="C302" i="9"/>
  <c r="C303" i="9"/>
  <c r="C304" i="9"/>
  <c r="C305" i="9"/>
  <c r="C306" i="9"/>
  <c r="C307" i="9"/>
  <c r="C308" i="9"/>
  <c r="C309" i="9"/>
  <c r="C310" i="9"/>
  <c r="C311" i="9"/>
  <c r="C312" i="9"/>
  <c r="C313" i="9"/>
  <c r="C314" i="9"/>
  <c r="C315" i="9"/>
  <c r="C316" i="9"/>
  <c r="C317" i="9"/>
  <c r="C318" i="9"/>
  <c r="C319" i="9"/>
  <c r="C320" i="9"/>
  <c r="C321" i="9"/>
  <c r="C322" i="9"/>
  <c r="C323" i="9"/>
  <c r="C324" i="9"/>
  <c r="C325" i="9"/>
  <c r="C326" i="9"/>
  <c r="C327" i="9"/>
  <c r="C328" i="9"/>
  <c r="C329" i="9"/>
  <c r="C330" i="9"/>
  <c r="C331" i="9"/>
  <c r="C332" i="9"/>
  <c r="C333" i="9"/>
  <c r="C334" i="9"/>
  <c r="C335" i="9"/>
  <c r="C336" i="9"/>
  <c r="C337" i="9"/>
  <c r="C338" i="9"/>
  <c r="C339" i="9"/>
  <c r="C340" i="9"/>
  <c r="C341" i="9"/>
  <c r="C342" i="9"/>
  <c r="C343" i="9"/>
  <c r="C344" i="9"/>
  <c r="C345" i="9"/>
  <c r="C346" i="9"/>
  <c r="C347" i="9"/>
  <c r="C348" i="9"/>
  <c r="C349" i="9"/>
  <c r="C350" i="9"/>
  <c r="C351" i="9"/>
  <c r="C352" i="9"/>
  <c r="C353" i="9"/>
  <c r="C354" i="9"/>
  <c r="C355" i="9"/>
  <c r="C356" i="9"/>
  <c r="C357" i="9"/>
  <c r="C358" i="9"/>
  <c r="C359" i="9"/>
  <c r="C360" i="9"/>
  <c r="C361" i="9"/>
  <c r="C362" i="9"/>
  <c r="C363" i="9"/>
  <c r="C364" i="9"/>
  <c r="C365" i="9"/>
  <c r="C366" i="9"/>
  <c r="C367" i="9"/>
  <c r="C368" i="9"/>
  <c r="C369" i="9"/>
  <c r="C370" i="9"/>
  <c r="C371" i="9"/>
  <c r="C372" i="9"/>
  <c r="C373" i="9"/>
  <c r="C374" i="9"/>
  <c r="C375" i="9"/>
  <c r="C376" i="9"/>
  <c r="C377" i="9"/>
  <c r="C378" i="9"/>
  <c r="C379" i="9"/>
  <c r="C380" i="9"/>
  <c r="C381" i="9"/>
  <c r="C382" i="9"/>
  <c r="C383" i="9"/>
  <c r="C384" i="9"/>
  <c r="C385" i="9"/>
  <c r="C386" i="9"/>
  <c r="C387" i="9"/>
  <c r="C388" i="9"/>
  <c r="C389" i="9"/>
  <c r="C390" i="9"/>
  <c r="C391" i="9"/>
  <c r="C392" i="9"/>
  <c r="C393" i="9"/>
  <c r="C394" i="9"/>
  <c r="C395" i="9"/>
  <c r="C396" i="9"/>
  <c r="C397" i="9"/>
  <c r="C398" i="9"/>
  <c r="C399" i="9"/>
  <c r="C400" i="9"/>
  <c r="C401" i="9"/>
  <c r="C402" i="9"/>
  <c r="C403" i="9"/>
  <c r="C404" i="9"/>
  <c r="C405" i="9"/>
  <c r="C406" i="9"/>
  <c r="C407" i="9"/>
  <c r="C408" i="9"/>
  <c r="C409" i="9"/>
  <c r="C410" i="9"/>
  <c r="C411" i="9"/>
  <c r="C412" i="9"/>
  <c r="C413" i="9"/>
  <c r="C414" i="9"/>
  <c r="C415" i="9"/>
  <c r="C416" i="9"/>
  <c r="C417" i="9"/>
  <c r="C418" i="9"/>
  <c r="C419" i="9"/>
  <c r="C420" i="9"/>
  <c r="C421" i="9"/>
  <c r="C422" i="9"/>
  <c r="C423" i="9"/>
  <c r="C424" i="9"/>
  <c r="C425" i="9"/>
  <c r="C426" i="9"/>
  <c r="C427" i="9"/>
  <c r="C428" i="9"/>
  <c r="C429" i="9"/>
  <c r="C430" i="9"/>
  <c r="C431" i="9"/>
  <c r="C432" i="9"/>
  <c r="C433" i="9"/>
  <c r="C434" i="9"/>
  <c r="C435" i="9"/>
  <c r="C436" i="9"/>
  <c r="C437" i="9"/>
  <c r="C438" i="9"/>
  <c r="C439" i="9"/>
  <c r="C440" i="9"/>
  <c r="C441" i="9"/>
  <c r="C442" i="9"/>
  <c r="C443" i="9"/>
  <c r="C444" i="9"/>
  <c r="C445" i="9"/>
  <c r="C446" i="9"/>
  <c r="C447" i="9"/>
  <c r="C448" i="9"/>
  <c r="C449" i="9"/>
  <c r="C450" i="9"/>
  <c r="C451" i="9"/>
  <c r="C452" i="9"/>
  <c r="C453" i="9"/>
  <c r="C454" i="9"/>
  <c r="C455" i="9"/>
  <c r="C456" i="9"/>
  <c r="C457" i="9"/>
  <c r="C458" i="9"/>
  <c r="C459" i="9"/>
  <c r="C460" i="9"/>
  <c r="C461" i="9"/>
  <c r="C462" i="9"/>
  <c r="C463" i="9"/>
  <c r="C464" i="9"/>
  <c r="C465" i="9"/>
  <c r="C466" i="9"/>
  <c r="C467" i="9"/>
  <c r="C468" i="9"/>
  <c r="C469" i="9"/>
  <c r="C470" i="9"/>
  <c r="C471" i="9"/>
  <c r="C472" i="9"/>
  <c r="C473" i="9"/>
  <c r="C474" i="9"/>
  <c r="C475" i="9"/>
  <c r="C476" i="9"/>
  <c r="C477" i="9"/>
  <c r="C478" i="9"/>
  <c r="C479" i="9"/>
  <c r="C480" i="9"/>
  <c r="C481" i="9"/>
  <c r="C482" i="9"/>
  <c r="C483" i="9"/>
  <c r="C484" i="9"/>
  <c r="C485" i="9"/>
  <c r="C486" i="9"/>
  <c r="C487" i="9"/>
  <c r="C488" i="9"/>
  <c r="C489" i="9"/>
  <c r="C490" i="9"/>
  <c r="C491" i="9"/>
  <c r="C492" i="9"/>
  <c r="C493" i="9"/>
  <c r="C494" i="9"/>
  <c r="C495" i="9"/>
  <c r="C496" i="9"/>
  <c r="C497" i="9"/>
  <c r="C498" i="9"/>
  <c r="C499" i="9"/>
  <c r="C500" i="9"/>
  <c r="C501" i="9"/>
  <c r="C502" i="9"/>
  <c r="C503" i="9"/>
  <c r="C504" i="9"/>
  <c r="C505" i="9"/>
  <c r="C506" i="9"/>
  <c r="C507" i="9"/>
  <c r="C508" i="9"/>
  <c r="C509" i="9"/>
  <c r="C510" i="9"/>
  <c r="C511" i="9"/>
  <c r="C512" i="9"/>
  <c r="C513" i="9"/>
  <c r="C514" i="9"/>
  <c r="C515" i="9"/>
  <c r="C516" i="9"/>
  <c r="C517" i="9"/>
  <c r="C518" i="9"/>
  <c r="C519" i="9"/>
  <c r="C520" i="9"/>
  <c r="C521" i="9"/>
  <c r="C522" i="9"/>
  <c r="C523" i="9"/>
  <c r="C524" i="9"/>
  <c r="C525" i="9"/>
  <c r="C526" i="9"/>
  <c r="C527" i="9"/>
  <c r="C528" i="9"/>
  <c r="C529" i="9"/>
  <c r="C530" i="9"/>
  <c r="C531" i="9"/>
  <c r="C532" i="9"/>
  <c r="C533" i="9"/>
  <c r="C534" i="9"/>
  <c r="C535" i="9"/>
  <c r="C536" i="9"/>
  <c r="C537" i="9"/>
  <c r="C538" i="9"/>
  <c r="C539" i="9"/>
  <c r="C540" i="9"/>
  <c r="C541" i="9"/>
  <c r="C542" i="9"/>
  <c r="C543" i="9"/>
  <c r="C544" i="9"/>
  <c r="C545" i="9"/>
  <c r="C546" i="9"/>
  <c r="C547" i="9"/>
  <c r="C548" i="9"/>
  <c r="C549" i="9"/>
  <c r="C550" i="9"/>
  <c r="C551" i="9"/>
  <c r="C552" i="9"/>
  <c r="C553" i="9"/>
  <c r="C554" i="9"/>
  <c r="C555" i="9"/>
  <c r="C556" i="9"/>
  <c r="C557" i="9"/>
  <c r="C558" i="9"/>
  <c r="C559" i="9"/>
  <c r="C560" i="9"/>
  <c r="C561" i="9"/>
  <c r="C562" i="9"/>
  <c r="C563" i="9"/>
  <c r="C564" i="9"/>
  <c r="C565" i="9"/>
  <c r="C566" i="9"/>
  <c r="C567" i="9"/>
  <c r="C568" i="9"/>
  <c r="C569" i="9"/>
  <c r="C570" i="9"/>
  <c r="C571" i="9"/>
  <c r="C572" i="9"/>
  <c r="C573" i="9"/>
  <c r="C574" i="9"/>
  <c r="C575" i="9"/>
  <c r="C576" i="9"/>
  <c r="C577" i="9"/>
  <c r="C578" i="9"/>
  <c r="C579" i="9"/>
  <c r="C580" i="9"/>
  <c r="C581" i="9"/>
  <c r="C582" i="9"/>
  <c r="C583" i="9"/>
  <c r="C584" i="9"/>
  <c r="C585" i="9"/>
  <c r="C586" i="9"/>
  <c r="C587" i="9"/>
  <c r="C588" i="9"/>
  <c r="C589" i="9"/>
  <c r="C590" i="9"/>
  <c r="C591" i="9"/>
  <c r="C592" i="9"/>
  <c r="C593" i="9"/>
  <c r="C594" i="9"/>
  <c r="C595" i="9"/>
  <c r="C596" i="9"/>
  <c r="C597" i="9"/>
  <c r="C598" i="9"/>
  <c r="C599" i="9"/>
  <c r="C600" i="9"/>
  <c r="C601" i="9"/>
  <c r="C602" i="9"/>
  <c r="C603" i="9"/>
  <c r="C604" i="9"/>
  <c r="C605" i="9"/>
  <c r="C606" i="9"/>
  <c r="C607" i="9"/>
  <c r="C608" i="9"/>
  <c r="C609" i="9"/>
  <c r="C610" i="9"/>
  <c r="C611" i="9"/>
  <c r="C612" i="9"/>
  <c r="C613" i="9"/>
  <c r="C614" i="9"/>
  <c r="C615" i="9"/>
  <c r="C616" i="9"/>
  <c r="C617" i="9"/>
  <c r="C618" i="9"/>
  <c r="C619" i="9"/>
  <c r="C620" i="9"/>
  <c r="C621" i="9"/>
  <c r="C622" i="9"/>
  <c r="C623" i="9"/>
  <c r="C624" i="9"/>
  <c r="C625" i="9"/>
  <c r="C626" i="9"/>
  <c r="C627" i="9"/>
  <c r="C628" i="9"/>
  <c r="C629" i="9"/>
  <c r="C630" i="9"/>
  <c r="C631" i="9"/>
  <c r="C632" i="9"/>
  <c r="C633" i="9"/>
  <c r="C634" i="9"/>
  <c r="C635" i="9"/>
  <c r="C636" i="9"/>
  <c r="C637" i="9"/>
  <c r="C638" i="9"/>
  <c r="C639" i="9"/>
  <c r="C640" i="9"/>
  <c r="C641" i="9"/>
  <c r="C642" i="9"/>
  <c r="C643" i="9"/>
  <c r="C644" i="9"/>
  <c r="C645" i="9"/>
  <c r="C646" i="9"/>
  <c r="C647" i="9"/>
  <c r="C648" i="9"/>
  <c r="C649" i="9"/>
  <c r="C650" i="9"/>
  <c r="C651" i="9"/>
  <c r="C652" i="9"/>
  <c r="C653" i="9"/>
  <c r="C654" i="9"/>
  <c r="C655" i="9"/>
  <c r="C656" i="9"/>
  <c r="C657" i="9"/>
  <c r="C658" i="9"/>
  <c r="C659" i="9"/>
  <c r="C660" i="9"/>
  <c r="C661" i="9"/>
  <c r="C662" i="9"/>
  <c r="C663" i="9"/>
  <c r="C664" i="9"/>
  <c r="C665" i="9"/>
  <c r="C666" i="9"/>
  <c r="C667" i="9"/>
  <c r="C668" i="9"/>
  <c r="C669" i="9"/>
  <c r="C670" i="9"/>
  <c r="C671" i="9"/>
  <c r="C672" i="9"/>
  <c r="C673" i="9"/>
  <c r="C674" i="9"/>
  <c r="C675" i="9"/>
  <c r="C676" i="9"/>
  <c r="C677" i="9"/>
  <c r="C678" i="9"/>
  <c r="C679" i="9"/>
  <c r="C680" i="9"/>
  <c r="C681" i="9"/>
  <c r="C682" i="9"/>
  <c r="C683" i="9"/>
  <c r="C684" i="9"/>
  <c r="C685" i="9"/>
  <c r="C686" i="9"/>
  <c r="C687" i="9"/>
  <c r="C688" i="9"/>
  <c r="C689" i="9"/>
  <c r="C690" i="9"/>
  <c r="C691" i="9"/>
  <c r="C692" i="9"/>
  <c r="C693" i="9"/>
  <c r="C694" i="9"/>
  <c r="C695" i="9"/>
  <c r="C696" i="9"/>
  <c r="C697" i="9"/>
  <c r="C698" i="9"/>
  <c r="C699" i="9"/>
  <c r="C700" i="9"/>
  <c r="C701" i="9"/>
  <c r="C702" i="9"/>
  <c r="C703" i="9"/>
  <c r="C704" i="9"/>
  <c r="C705" i="9"/>
  <c r="C706" i="9"/>
  <c r="C707" i="9"/>
  <c r="C708" i="9"/>
  <c r="C709" i="9"/>
  <c r="C710" i="9"/>
  <c r="C711" i="9"/>
  <c r="C712" i="9"/>
  <c r="C713" i="9"/>
  <c r="C714" i="9"/>
  <c r="C715" i="9"/>
  <c r="C716" i="9"/>
  <c r="C717" i="9"/>
  <c r="C718" i="9"/>
  <c r="C719" i="9"/>
  <c r="C720" i="9"/>
  <c r="C721" i="9"/>
  <c r="C722" i="9"/>
  <c r="C723" i="9"/>
  <c r="C724" i="9"/>
  <c r="C725" i="9"/>
  <c r="C726" i="9"/>
  <c r="C727" i="9"/>
  <c r="C728" i="9"/>
  <c r="C729" i="9"/>
  <c r="C730" i="9"/>
  <c r="C731" i="9"/>
  <c r="C732" i="9"/>
  <c r="C733" i="9"/>
  <c r="C734" i="9"/>
  <c r="C735" i="9"/>
  <c r="C736" i="9"/>
  <c r="C737" i="9"/>
  <c r="C738" i="9"/>
  <c r="C739" i="9"/>
  <c r="C740" i="9"/>
  <c r="C741" i="9"/>
  <c r="C742" i="9"/>
  <c r="C743" i="9"/>
  <c r="C744" i="9"/>
  <c r="C745" i="9"/>
  <c r="C746" i="9"/>
  <c r="C747" i="9"/>
  <c r="C748" i="9"/>
  <c r="C749" i="9"/>
  <c r="C750" i="9"/>
  <c r="C751" i="9"/>
  <c r="C752" i="9"/>
  <c r="C753" i="9"/>
  <c r="C754" i="9"/>
  <c r="C755" i="9"/>
  <c r="C756" i="9"/>
  <c r="C757" i="9"/>
  <c r="C758" i="9"/>
  <c r="C759" i="9"/>
  <c r="C760" i="9"/>
  <c r="C761" i="9"/>
  <c r="C762" i="9"/>
  <c r="C763" i="9"/>
  <c r="C764" i="9"/>
  <c r="C765" i="9"/>
  <c r="C766" i="9"/>
  <c r="C767" i="9"/>
  <c r="C768" i="9"/>
  <c r="C769" i="9"/>
  <c r="C770" i="9"/>
  <c r="C771" i="9"/>
  <c r="C772" i="9"/>
  <c r="C773" i="9"/>
  <c r="C774" i="9"/>
  <c r="C775" i="9"/>
  <c r="C776" i="9"/>
  <c r="C777" i="9"/>
  <c r="C778" i="9"/>
  <c r="C779" i="9"/>
  <c r="C780" i="9"/>
  <c r="C781" i="9"/>
  <c r="C782" i="9"/>
  <c r="C783" i="9"/>
  <c r="C784" i="9"/>
  <c r="C785" i="9"/>
  <c r="C786" i="9"/>
  <c r="C787" i="9"/>
  <c r="C788" i="9"/>
  <c r="C789" i="9"/>
  <c r="C790" i="9"/>
  <c r="C791" i="9"/>
  <c r="C792" i="9"/>
  <c r="C793" i="9"/>
  <c r="C794" i="9"/>
  <c r="C795" i="9"/>
  <c r="C796" i="9"/>
  <c r="C797" i="9"/>
  <c r="C798" i="9"/>
  <c r="C799" i="9"/>
  <c r="C800" i="9"/>
  <c r="C801" i="9"/>
  <c r="C802" i="9"/>
  <c r="C803" i="9"/>
  <c r="C804" i="9"/>
  <c r="C805" i="9"/>
  <c r="C806" i="9"/>
  <c r="C807" i="9"/>
  <c r="C808" i="9"/>
  <c r="C809" i="9"/>
  <c r="C810" i="9"/>
  <c r="C811" i="9"/>
  <c r="C812" i="9"/>
  <c r="C813" i="9"/>
  <c r="C814" i="9"/>
  <c r="C815" i="9"/>
  <c r="C816" i="9"/>
  <c r="C817" i="9"/>
  <c r="C818" i="9"/>
  <c r="C819" i="9"/>
  <c r="C820" i="9"/>
  <c r="C821" i="9"/>
  <c r="C822" i="9"/>
  <c r="C823" i="9"/>
  <c r="C824" i="9"/>
  <c r="C825" i="9"/>
  <c r="C826" i="9"/>
  <c r="C827" i="9"/>
  <c r="C828" i="9"/>
  <c r="C829" i="9"/>
  <c r="C830" i="9"/>
  <c r="C831" i="9"/>
  <c r="C832" i="9"/>
  <c r="C833" i="9"/>
  <c r="C834" i="9"/>
  <c r="C835" i="9"/>
  <c r="C836" i="9"/>
  <c r="C837" i="9"/>
  <c r="C838" i="9"/>
  <c r="C839" i="9"/>
  <c r="C840" i="9"/>
  <c r="C841" i="9"/>
  <c r="C842" i="9"/>
  <c r="C843" i="9"/>
  <c r="C844" i="9"/>
  <c r="C845" i="9"/>
  <c r="C846" i="9"/>
  <c r="C847" i="9"/>
  <c r="C848" i="9"/>
  <c r="C849" i="9"/>
  <c r="C850" i="9"/>
  <c r="C851" i="9"/>
  <c r="C852" i="9"/>
  <c r="C853" i="9"/>
  <c r="C854" i="9"/>
  <c r="C855" i="9"/>
  <c r="C856" i="9"/>
  <c r="C857" i="9"/>
  <c r="C858" i="9"/>
  <c r="C859" i="9"/>
  <c r="C860" i="9"/>
  <c r="C861" i="9"/>
  <c r="C862" i="9"/>
  <c r="C863" i="9"/>
  <c r="C864" i="9"/>
  <c r="C865" i="9"/>
  <c r="C866" i="9"/>
  <c r="C867" i="9"/>
  <c r="C868" i="9"/>
  <c r="C869" i="9"/>
  <c r="C870" i="9"/>
  <c r="C871" i="9"/>
  <c r="C872" i="9"/>
  <c r="C873" i="9"/>
  <c r="C874" i="9"/>
  <c r="C875" i="9"/>
  <c r="C876" i="9"/>
  <c r="C877" i="9"/>
  <c r="C878" i="9"/>
  <c r="C879" i="9"/>
  <c r="C880" i="9"/>
  <c r="C881" i="9"/>
  <c r="C882" i="9"/>
  <c r="C883" i="9"/>
  <c r="C884" i="9"/>
  <c r="C885" i="9"/>
  <c r="C886" i="9"/>
  <c r="C887" i="9"/>
  <c r="C888" i="9"/>
  <c r="C889" i="9"/>
  <c r="C890" i="9"/>
  <c r="C891" i="9"/>
  <c r="C892" i="9"/>
  <c r="C893" i="9"/>
  <c r="C894" i="9"/>
  <c r="C895" i="9"/>
  <c r="C896" i="9"/>
  <c r="C897" i="9"/>
  <c r="C898" i="9"/>
  <c r="C899" i="9"/>
  <c r="C900" i="9"/>
  <c r="C901" i="9"/>
  <c r="C902" i="9"/>
  <c r="C903" i="9"/>
  <c r="C904" i="9"/>
  <c r="C905" i="9"/>
  <c r="C906" i="9"/>
  <c r="C907" i="9"/>
  <c r="C908" i="9"/>
  <c r="C909" i="9"/>
  <c r="C910" i="9"/>
  <c r="C911" i="9"/>
  <c r="C912" i="9"/>
  <c r="C913" i="9"/>
  <c r="C914" i="9"/>
  <c r="C915" i="9"/>
  <c r="C916" i="9"/>
  <c r="C917" i="9"/>
  <c r="C918" i="9"/>
  <c r="C919" i="9"/>
  <c r="C920" i="9"/>
  <c r="C921" i="9"/>
  <c r="C922" i="9"/>
  <c r="C923" i="9"/>
  <c r="C924" i="9"/>
  <c r="C925" i="9"/>
  <c r="C926" i="9"/>
  <c r="C927" i="9"/>
  <c r="C928" i="9"/>
  <c r="C929" i="9"/>
  <c r="C930" i="9"/>
  <c r="C931" i="9"/>
  <c r="C932" i="9"/>
  <c r="C933" i="9"/>
  <c r="C934" i="9"/>
  <c r="C935" i="9"/>
  <c r="C936" i="9"/>
  <c r="C937" i="9"/>
  <c r="C938" i="9"/>
  <c r="C939" i="9"/>
  <c r="C940" i="9"/>
  <c r="C941" i="9"/>
  <c r="C942" i="9"/>
  <c r="C943" i="9"/>
  <c r="C944" i="9"/>
  <c r="C945" i="9"/>
  <c r="C946" i="9"/>
  <c r="C947" i="9"/>
  <c r="C948" i="9"/>
  <c r="C949" i="9"/>
  <c r="C950" i="9"/>
  <c r="C951" i="9"/>
  <c r="C952" i="9"/>
  <c r="C953" i="9"/>
  <c r="C954" i="9"/>
  <c r="C955" i="9"/>
  <c r="C956" i="9"/>
  <c r="C957" i="9"/>
  <c r="C958" i="9"/>
  <c r="C959" i="9"/>
  <c r="C960" i="9"/>
  <c r="C961" i="9"/>
  <c r="C962" i="9"/>
  <c r="C963" i="9"/>
  <c r="C964" i="9"/>
  <c r="C965" i="9"/>
  <c r="C966" i="9"/>
  <c r="C967" i="9"/>
  <c r="C968" i="9"/>
  <c r="C969" i="9"/>
  <c r="C970" i="9"/>
  <c r="C971" i="9"/>
  <c r="C972" i="9"/>
  <c r="C973" i="9"/>
  <c r="C974" i="9"/>
  <c r="C975" i="9"/>
  <c r="C976" i="9"/>
  <c r="C977" i="9"/>
  <c r="C978" i="9"/>
  <c r="C979" i="9"/>
  <c r="C980" i="9"/>
  <c r="C981" i="9"/>
  <c r="C982" i="9"/>
  <c r="C983" i="9"/>
  <c r="C984" i="9"/>
  <c r="C985" i="9"/>
  <c r="C986" i="9"/>
  <c r="C987" i="9"/>
  <c r="C988" i="9"/>
  <c r="C989" i="9"/>
  <c r="C990" i="9"/>
  <c r="C991" i="9"/>
  <c r="C992" i="9"/>
  <c r="C993" i="9"/>
  <c r="C994" i="9"/>
  <c r="C995" i="9"/>
  <c r="C996" i="9"/>
  <c r="C997" i="9"/>
  <c r="C998" i="9"/>
  <c r="C999" i="9"/>
  <c r="C1000" i="9"/>
  <c r="C1001" i="9"/>
  <c r="C1002" i="9"/>
  <c r="C1003" i="9"/>
  <c r="C1004" i="9"/>
  <c r="C1005" i="9"/>
  <c r="C1006" i="9"/>
  <c r="C1007" i="9"/>
  <c r="C1008" i="9"/>
  <c r="C1009" i="9"/>
  <c r="C1010" i="9"/>
  <c r="C1011" i="9"/>
  <c r="C1012" i="9"/>
  <c r="C1013" i="9"/>
  <c r="C1014" i="9"/>
  <c r="C1015" i="9"/>
  <c r="C1016" i="9"/>
  <c r="C1017" i="9"/>
  <c r="C1018" i="9"/>
  <c r="C1019" i="9"/>
  <c r="C1020" i="9"/>
  <c r="C1021" i="9"/>
  <c r="C1022" i="9"/>
  <c r="C1023" i="9"/>
  <c r="C1024" i="9"/>
  <c r="C1025" i="9"/>
  <c r="C1026" i="9"/>
  <c r="C1027" i="9"/>
  <c r="C1028" i="9"/>
  <c r="C1029" i="9"/>
  <c r="C1030" i="9"/>
  <c r="C1031" i="9"/>
  <c r="C1032" i="9"/>
  <c r="C1033" i="9"/>
  <c r="C1034" i="9"/>
  <c r="C1035" i="9"/>
  <c r="C1036" i="9"/>
  <c r="C1037" i="9"/>
  <c r="C1038" i="9"/>
  <c r="C1039" i="9"/>
  <c r="C1040" i="9"/>
  <c r="C1041" i="9"/>
  <c r="C1042" i="9"/>
  <c r="C1043" i="9"/>
  <c r="C1044" i="9"/>
  <c r="C1045" i="9"/>
  <c r="C1046" i="9"/>
  <c r="C1047" i="9"/>
  <c r="C1048" i="9"/>
  <c r="C1049" i="9"/>
  <c r="C1050" i="9"/>
  <c r="C1051" i="9"/>
  <c r="C1052" i="9"/>
  <c r="C1053" i="9"/>
  <c r="C1054" i="9"/>
  <c r="C1055" i="9"/>
  <c r="C1056" i="9"/>
  <c r="C1057" i="9"/>
  <c r="C1058" i="9"/>
  <c r="C1059" i="9"/>
  <c r="C1060" i="9"/>
  <c r="C1061" i="9"/>
  <c r="C1062" i="9"/>
  <c r="C1063" i="9"/>
  <c r="C1064" i="9"/>
  <c r="C1065" i="9"/>
  <c r="C1066" i="9"/>
  <c r="C1067" i="9"/>
  <c r="C1068" i="9"/>
  <c r="C1069" i="9"/>
  <c r="C1070" i="9"/>
  <c r="C1071" i="9"/>
  <c r="C1072" i="9"/>
  <c r="C1073" i="9"/>
  <c r="C1074" i="9"/>
  <c r="C1075" i="9"/>
  <c r="C1076" i="9"/>
  <c r="C1077" i="9"/>
  <c r="C1078" i="9"/>
  <c r="C1079" i="9"/>
  <c r="C1080" i="9"/>
  <c r="C1081" i="9"/>
  <c r="C1082" i="9"/>
  <c r="C1083" i="9"/>
  <c r="C1084" i="9"/>
  <c r="C1085" i="9"/>
  <c r="C1086" i="9"/>
  <c r="C1087" i="9"/>
  <c r="C1088" i="9"/>
  <c r="C1089" i="9"/>
  <c r="C1090" i="9"/>
  <c r="C1091" i="9"/>
  <c r="C1092" i="9"/>
  <c r="C1093" i="9"/>
  <c r="C1094" i="9"/>
  <c r="C1095" i="9"/>
  <c r="C1096" i="9"/>
  <c r="C1097" i="9"/>
  <c r="B2" i="9"/>
  <c r="B3" i="9"/>
  <c r="B4" i="9"/>
  <c r="B5" i="9"/>
  <c r="B6" i="9"/>
  <c r="B7" i="9"/>
  <c r="B8" i="9"/>
  <c r="B9" i="9"/>
  <c r="B10" i="9"/>
  <c r="B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B53" i="9"/>
  <c r="B54" i="9"/>
  <c r="B55" i="9"/>
  <c r="B56" i="9"/>
  <c r="B57" i="9"/>
  <c r="B58" i="9"/>
  <c r="B59" i="9"/>
  <c r="B60" i="9"/>
  <c r="B61" i="9"/>
  <c r="B62" i="9"/>
  <c r="B63" i="9"/>
  <c r="B64" i="9"/>
  <c r="B65" i="9"/>
  <c r="B66" i="9"/>
  <c r="B67" i="9"/>
  <c r="B68" i="9"/>
  <c r="B69" i="9"/>
  <c r="B70" i="9"/>
  <c r="B71" i="9"/>
  <c r="B72" i="9"/>
  <c r="B73" i="9"/>
  <c r="B74" i="9"/>
  <c r="B75" i="9"/>
  <c r="B76" i="9"/>
  <c r="B77" i="9"/>
  <c r="B78" i="9"/>
  <c r="B79" i="9"/>
  <c r="B80" i="9"/>
  <c r="B81" i="9"/>
  <c r="B82" i="9"/>
  <c r="B83" i="9"/>
  <c r="B84" i="9"/>
  <c r="B85" i="9"/>
  <c r="B86" i="9"/>
  <c r="B87" i="9"/>
  <c r="B88" i="9"/>
  <c r="B89" i="9"/>
  <c r="B90" i="9"/>
  <c r="B91" i="9"/>
  <c r="B92" i="9"/>
  <c r="B93" i="9"/>
  <c r="B94" i="9"/>
  <c r="B95" i="9"/>
  <c r="B96" i="9"/>
  <c r="B97" i="9"/>
  <c r="B98" i="9"/>
  <c r="B99" i="9"/>
  <c r="B100" i="9"/>
  <c r="B101" i="9"/>
  <c r="B102" i="9"/>
  <c r="B103" i="9"/>
  <c r="B104" i="9"/>
  <c r="B105" i="9"/>
  <c r="B106" i="9"/>
  <c r="B107" i="9"/>
  <c r="B108" i="9"/>
  <c r="B109" i="9"/>
  <c r="B110" i="9"/>
  <c r="B111" i="9"/>
  <c r="B112" i="9"/>
  <c r="B113" i="9"/>
  <c r="B114" i="9"/>
  <c r="B115" i="9"/>
  <c r="B116" i="9"/>
  <c r="B117" i="9"/>
  <c r="B118" i="9"/>
  <c r="B119" i="9"/>
  <c r="B120" i="9"/>
  <c r="B121" i="9"/>
  <c r="B122" i="9"/>
  <c r="B123" i="9"/>
  <c r="B124" i="9"/>
  <c r="B125" i="9"/>
  <c r="B126" i="9"/>
  <c r="B127" i="9"/>
  <c r="B128" i="9"/>
  <c r="B129" i="9"/>
  <c r="B130" i="9"/>
  <c r="B131" i="9"/>
  <c r="B132" i="9"/>
  <c r="B133" i="9"/>
  <c r="B134" i="9"/>
  <c r="B135" i="9"/>
  <c r="B136" i="9"/>
  <c r="B137" i="9"/>
  <c r="B138" i="9"/>
  <c r="B139" i="9"/>
  <c r="B140" i="9"/>
  <c r="B141" i="9"/>
  <c r="B142" i="9"/>
  <c r="B143" i="9"/>
  <c r="B144" i="9"/>
  <c r="B145" i="9"/>
  <c r="B146" i="9"/>
  <c r="B147" i="9"/>
  <c r="B148" i="9"/>
  <c r="B149" i="9"/>
  <c r="B150" i="9"/>
  <c r="B151" i="9"/>
  <c r="B152" i="9"/>
  <c r="B153" i="9"/>
  <c r="B154" i="9"/>
  <c r="B155" i="9"/>
  <c r="B156" i="9"/>
  <c r="B157" i="9"/>
  <c r="B158" i="9"/>
  <c r="B159" i="9"/>
  <c r="B160" i="9"/>
  <c r="B161" i="9"/>
  <c r="B162" i="9"/>
  <c r="B163" i="9"/>
  <c r="B164" i="9"/>
  <c r="B165" i="9"/>
  <c r="B166" i="9"/>
  <c r="B167" i="9"/>
  <c r="B168" i="9"/>
  <c r="B169" i="9"/>
  <c r="B170" i="9"/>
  <c r="B171" i="9"/>
  <c r="B172" i="9"/>
  <c r="B173" i="9"/>
  <c r="B174" i="9"/>
  <c r="B175" i="9"/>
  <c r="B176" i="9"/>
  <c r="B177" i="9"/>
  <c r="B178" i="9"/>
  <c r="B179" i="9"/>
  <c r="B180" i="9"/>
  <c r="B181" i="9"/>
  <c r="B182" i="9"/>
  <c r="B183" i="9"/>
  <c r="B184" i="9"/>
  <c r="B185" i="9"/>
  <c r="B186" i="9"/>
  <c r="B187" i="9"/>
  <c r="B188" i="9"/>
  <c r="B189" i="9"/>
  <c r="B190" i="9"/>
  <c r="B191" i="9"/>
  <c r="B192" i="9"/>
  <c r="B193" i="9"/>
  <c r="B194" i="9"/>
  <c r="B195" i="9"/>
  <c r="B196" i="9"/>
  <c r="B197" i="9"/>
  <c r="B198" i="9"/>
  <c r="B199" i="9"/>
  <c r="B200" i="9"/>
  <c r="B201" i="9"/>
  <c r="B202" i="9"/>
  <c r="B203" i="9"/>
  <c r="B204" i="9"/>
  <c r="B205" i="9"/>
  <c r="B206" i="9"/>
  <c r="B207" i="9"/>
  <c r="B208" i="9"/>
  <c r="B209" i="9"/>
  <c r="B210" i="9"/>
  <c r="B211" i="9"/>
  <c r="B212" i="9"/>
  <c r="B213" i="9"/>
  <c r="B214" i="9"/>
  <c r="B215" i="9"/>
  <c r="B216" i="9"/>
  <c r="B217" i="9"/>
  <c r="B218" i="9"/>
  <c r="B219" i="9"/>
  <c r="B220" i="9"/>
  <c r="B221" i="9"/>
  <c r="B222" i="9"/>
  <c r="B223" i="9"/>
  <c r="B224" i="9"/>
  <c r="B225" i="9"/>
  <c r="B226" i="9"/>
  <c r="B227" i="9"/>
  <c r="B228" i="9"/>
  <c r="B229" i="9"/>
  <c r="B230" i="9"/>
  <c r="B231" i="9"/>
  <c r="B232" i="9"/>
  <c r="B233" i="9"/>
  <c r="B234" i="9"/>
  <c r="B235" i="9"/>
  <c r="B236" i="9"/>
  <c r="B237" i="9"/>
  <c r="B238" i="9"/>
  <c r="B239" i="9"/>
  <c r="B240" i="9"/>
  <c r="B241" i="9"/>
  <c r="B242" i="9"/>
  <c r="B243" i="9"/>
  <c r="B244" i="9"/>
  <c r="B245" i="9"/>
  <c r="B246" i="9"/>
  <c r="B247" i="9"/>
  <c r="B248" i="9"/>
  <c r="B249" i="9"/>
  <c r="B250" i="9"/>
  <c r="B251" i="9"/>
  <c r="B252" i="9"/>
  <c r="B253" i="9"/>
  <c r="B254" i="9"/>
  <c r="B255" i="9"/>
  <c r="B256" i="9"/>
  <c r="B257" i="9"/>
  <c r="B258" i="9"/>
  <c r="B259" i="9"/>
  <c r="B260" i="9"/>
  <c r="B261" i="9"/>
  <c r="B262" i="9"/>
  <c r="B263" i="9"/>
  <c r="B264" i="9"/>
  <c r="B265" i="9"/>
  <c r="B266" i="9"/>
  <c r="B267" i="9"/>
  <c r="B268" i="9"/>
  <c r="B269" i="9"/>
  <c r="B270" i="9"/>
  <c r="B271" i="9"/>
  <c r="B272" i="9"/>
  <c r="B273" i="9"/>
  <c r="B274" i="9"/>
  <c r="B275" i="9"/>
  <c r="B276" i="9"/>
  <c r="B277" i="9"/>
  <c r="B278" i="9"/>
  <c r="B279" i="9"/>
  <c r="B280" i="9"/>
  <c r="B281" i="9"/>
  <c r="B282" i="9"/>
  <c r="B283" i="9"/>
  <c r="B284" i="9"/>
  <c r="B285" i="9"/>
  <c r="B286" i="9"/>
  <c r="B287" i="9"/>
  <c r="B288" i="9"/>
  <c r="B289" i="9"/>
  <c r="B290" i="9"/>
  <c r="B291" i="9"/>
  <c r="B292" i="9"/>
  <c r="B293" i="9"/>
  <c r="B294" i="9"/>
  <c r="B295" i="9"/>
  <c r="B296" i="9"/>
  <c r="B297" i="9"/>
  <c r="B298" i="9"/>
  <c r="B299" i="9"/>
  <c r="B300" i="9"/>
  <c r="B301" i="9"/>
  <c r="B302" i="9"/>
  <c r="B303" i="9"/>
  <c r="B304" i="9"/>
  <c r="B305" i="9"/>
  <c r="B306" i="9"/>
  <c r="B307" i="9"/>
  <c r="B308" i="9"/>
  <c r="B309" i="9"/>
  <c r="B310" i="9"/>
  <c r="B311" i="9"/>
  <c r="B312" i="9"/>
  <c r="B313" i="9"/>
  <c r="B314" i="9"/>
  <c r="B315" i="9"/>
  <c r="B316" i="9"/>
  <c r="B317" i="9"/>
  <c r="B318" i="9"/>
  <c r="B319" i="9"/>
  <c r="B320" i="9"/>
  <c r="B321" i="9"/>
  <c r="B322" i="9"/>
  <c r="B323" i="9"/>
  <c r="B324" i="9"/>
  <c r="B325" i="9"/>
  <c r="B326" i="9"/>
  <c r="B327" i="9"/>
  <c r="B328" i="9"/>
  <c r="B329" i="9"/>
  <c r="B330" i="9"/>
  <c r="B331" i="9"/>
  <c r="B332" i="9"/>
  <c r="B333" i="9"/>
  <c r="B334" i="9"/>
  <c r="B335" i="9"/>
  <c r="B336" i="9"/>
  <c r="B337" i="9"/>
  <c r="B338" i="9"/>
  <c r="B339" i="9"/>
  <c r="B340" i="9"/>
  <c r="B341" i="9"/>
  <c r="B342" i="9"/>
  <c r="B343" i="9"/>
  <c r="B344" i="9"/>
  <c r="B345" i="9"/>
  <c r="B346" i="9"/>
  <c r="B347" i="9"/>
  <c r="B348" i="9"/>
  <c r="B349" i="9"/>
  <c r="B350" i="9"/>
  <c r="B351" i="9"/>
  <c r="B352" i="9"/>
  <c r="B353" i="9"/>
  <c r="B354" i="9"/>
  <c r="B355" i="9"/>
  <c r="B356" i="9"/>
  <c r="B357" i="9"/>
  <c r="B358" i="9"/>
  <c r="B359" i="9"/>
  <c r="B360" i="9"/>
  <c r="B361" i="9"/>
  <c r="B362" i="9"/>
  <c r="B363" i="9"/>
  <c r="B364" i="9"/>
  <c r="B365" i="9"/>
  <c r="B366" i="9"/>
  <c r="B367" i="9"/>
  <c r="B368" i="9"/>
  <c r="B369" i="9"/>
  <c r="B370" i="9"/>
  <c r="B371" i="9"/>
  <c r="B372" i="9"/>
  <c r="B373" i="9"/>
  <c r="B374" i="9"/>
  <c r="B375" i="9"/>
  <c r="B376" i="9"/>
  <c r="B377" i="9"/>
  <c r="B378" i="9"/>
  <c r="B379" i="9"/>
  <c r="B380" i="9"/>
  <c r="B381" i="9"/>
  <c r="B382" i="9"/>
  <c r="B383" i="9"/>
  <c r="B384" i="9"/>
  <c r="B385" i="9"/>
  <c r="B386" i="9"/>
  <c r="B387" i="9"/>
  <c r="B388" i="9"/>
  <c r="B389" i="9"/>
  <c r="B390" i="9"/>
  <c r="B391" i="9"/>
  <c r="B392" i="9"/>
  <c r="B393" i="9"/>
  <c r="B394" i="9"/>
  <c r="B395" i="9"/>
  <c r="B396" i="9"/>
  <c r="B397" i="9"/>
  <c r="B398" i="9"/>
  <c r="B399" i="9"/>
  <c r="B400" i="9"/>
  <c r="B401" i="9"/>
  <c r="B402" i="9"/>
  <c r="B403" i="9"/>
  <c r="B404" i="9"/>
  <c r="B405" i="9"/>
  <c r="B406" i="9"/>
  <c r="B407" i="9"/>
  <c r="B408" i="9"/>
  <c r="B409" i="9"/>
  <c r="B410" i="9"/>
  <c r="B411" i="9"/>
  <c r="B412" i="9"/>
  <c r="B413" i="9"/>
  <c r="B414" i="9"/>
  <c r="B415" i="9"/>
  <c r="B416" i="9"/>
  <c r="B417" i="9"/>
  <c r="B418" i="9"/>
  <c r="B419" i="9"/>
  <c r="B420" i="9"/>
  <c r="B421" i="9"/>
  <c r="B422" i="9"/>
  <c r="B423" i="9"/>
  <c r="B424" i="9"/>
  <c r="B425" i="9"/>
  <c r="B426" i="9"/>
  <c r="B427" i="9"/>
  <c r="B428" i="9"/>
  <c r="B429" i="9"/>
  <c r="B430" i="9"/>
  <c r="B431" i="9"/>
  <c r="B432" i="9"/>
  <c r="B433" i="9"/>
  <c r="B434" i="9"/>
  <c r="B435" i="9"/>
  <c r="B436" i="9"/>
  <c r="B437" i="9"/>
  <c r="B438" i="9"/>
  <c r="B439" i="9"/>
  <c r="B440" i="9"/>
  <c r="B441" i="9"/>
  <c r="B442" i="9"/>
  <c r="B443" i="9"/>
  <c r="B444" i="9"/>
  <c r="B445" i="9"/>
  <c r="B446" i="9"/>
  <c r="B447" i="9"/>
  <c r="B448" i="9"/>
  <c r="B449" i="9"/>
  <c r="B450" i="9"/>
  <c r="B451" i="9"/>
  <c r="B452" i="9"/>
  <c r="B453" i="9"/>
  <c r="B454" i="9"/>
  <c r="B455" i="9"/>
  <c r="B456" i="9"/>
  <c r="B457" i="9"/>
  <c r="B458" i="9"/>
  <c r="B459" i="9"/>
  <c r="B460" i="9"/>
  <c r="B461" i="9"/>
  <c r="B462" i="9"/>
  <c r="B463" i="9"/>
  <c r="B464" i="9"/>
  <c r="B465" i="9"/>
  <c r="B466" i="9"/>
  <c r="B467" i="9"/>
  <c r="B468" i="9"/>
  <c r="B469" i="9"/>
  <c r="B470" i="9"/>
  <c r="B471" i="9"/>
  <c r="B472" i="9"/>
  <c r="B473" i="9"/>
  <c r="B474" i="9"/>
  <c r="B475" i="9"/>
  <c r="B476" i="9"/>
  <c r="B477" i="9"/>
  <c r="B478" i="9"/>
  <c r="B479" i="9"/>
  <c r="B480" i="9"/>
  <c r="B481" i="9"/>
  <c r="B482" i="9"/>
  <c r="B483" i="9"/>
  <c r="B484" i="9"/>
  <c r="B485" i="9"/>
  <c r="B486" i="9"/>
  <c r="B487" i="9"/>
  <c r="B488" i="9"/>
  <c r="B489" i="9"/>
  <c r="B490" i="9"/>
  <c r="B491" i="9"/>
  <c r="B492" i="9"/>
  <c r="B493" i="9"/>
  <c r="B494" i="9"/>
  <c r="B495" i="9"/>
  <c r="B496" i="9"/>
  <c r="B497" i="9"/>
  <c r="B498" i="9"/>
  <c r="B499" i="9"/>
  <c r="B500" i="9"/>
  <c r="B501" i="9"/>
  <c r="B502" i="9"/>
  <c r="B503" i="9"/>
  <c r="B504" i="9"/>
  <c r="B505" i="9"/>
  <c r="B506" i="9"/>
  <c r="B507" i="9"/>
  <c r="B508" i="9"/>
  <c r="B509" i="9"/>
  <c r="B510" i="9"/>
  <c r="B511" i="9"/>
  <c r="B512" i="9"/>
  <c r="B513" i="9"/>
  <c r="B514" i="9"/>
  <c r="B515" i="9"/>
  <c r="B516" i="9"/>
  <c r="B517" i="9"/>
  <c r="B518" i="9"/>
  <c r="B519" i="9"/>
  <c r="B520" i="9"/>
  <c r="B521" i="9"/>
  <c r="B522" i="9"/>
  <c r="B523" i="9"/>
  <c r="B524" i="9"/>
  <c r="B525" i="9"/>
  <c r="B526" i="9"/>
  <c r="B527" i="9"/>
  <c r="B528" i="9"/>
  <c r="B529" i="9"/>
  <c r="B530" i="9"/>
  <c r="B531" i="9"/>
  <c r="B532" i="9"/>
  <c r="B533" i="9"/>
  <c r="B534" i="9"/>
  <c r="B535" i="9"/>
  <c r="B536" i="9"/>
  <c r="B537" i="9"/>
  <c r="B538" i="9"/>
  <c r="B539" i="9"/>
  <c r="B540" i="9"/>
  <c r="B541" i="9"/>
  <c r="B542" i="9"/>
  <c r="B543" i="9"/>
  <c r="B544" i="9"/>
  <c r="B545" i="9"/>
  <c r="B546" i="9"/>
  <c r="B547" i="9"/>
  <c r="B548" i="9"/>
  <c r="B549" i="9"/>
  <c r="B550" i="9"/>
  <c r="B551" i="9"/>
  <c r="B552" i="9"/>
  <c r="B553" i="9"/>
  <c r="B554" i="9"/>
  <c r="B555" i="9"/>
  <c r="B556" i="9"/>
  <c r="B557" i="9"/>
  <c r="B558" i="9"/>
  <c r="B559" i="9"/>
  <c r="B560" i="9"/>
  <c r="B561" i="9"/>
  <c r="B562" i="9"/>
  <c r="B563" i="9"/>
  <c r="B564" i="9"/>
  <c r="B565" i="9"/>
  <c r="B566" i="9"/>
  <c r="B567" i="9"/>
  <c r="B568" i="9"/>
  <c r="B569" i="9"/>
  <c r="B570" i="9"/>
  <c r="B571" i="9"/>
  <c r="B572" i="9"/>
  <c r="B573" i="9"/>
  <c r="B574" i="9"/>
  <c r="B575" i="9"/>
  <c r="B576" i="9"/>
  <c r="B577" i="9"/>
  <c r="B578" i="9"/>
  <c r="B579" i="9"/>
  <c r="B580" i="9"/>
  <c r="B581" i="9"/>
  <c r="B582" i="9"/>
  <c r="B583" i="9"/>
  <c r="B584" i="9"/>
  <c r="B585" i="9"/>
  <c r="B586" i="9"/>
  <c r="B587" i="9"/>
  <c r="B588" i="9"/>
  <c r="B589" i="9"/>
  <c r="B590" i="9"/>
  <c r="B591" i="9"/>
  <c r="B592" i="9"/>
  <c r="B593" i="9"/>
  <c r="B594" i="9"/>
  <c r="B595" i="9"/>
  <c r="B596" i="9"/>
  <c r="B597" i="9"/>
  <c r="B598" i="9"/>
  <c r="B599" i="9"/>
  <c r="B600" i="9"/>
  <c r="B601" i="9"/>
  <c r="B602" i="9"/>
  <c r="B603" i="9"/>
  <c r="B604" i="9"/>
  <c r="B605" i="9"/>
  <c r="B606" i="9"/>
  <c r="B607" i="9"/>
  <c r="B608" i="9"/>
  <c r="B609" i="9"/>
  <c r="B610" i="9"/>
  <c r="B611" i="9"/>
  <c r="B612" i="9"/>
  <c r="B613" i="9"/>
  <c r="B614" i="9"/>
  <c r="B615" i="9"/>
  <c r="B616" i="9"/>
  <c r="B617" i="9"/>
  <c r="B618" i="9"/>
  <c r="B619" i="9"/>
  <c r="B620" i="9"/>
  <c r="B621" i="9"/>
  <c r="B622" i="9"/>
  <c r="B623" i="9"/>
  <c r="B624" i="9"/>
  <c r="B625" i="9"/>
  <c r="B626" i="9"/>
  <c r="B627" i="9"/>
  <c r="B628" i="9"/>
  <c r="B629" i="9"/>
  <c r="B630" i="9"/>
  <c r="B631" i="9"/>
  <c r="B632" i="9"/>
  <c r="B633" i="9"/>
  <c r="B634" i="9"/>
  <c r="B635" i="9"/>
  <c r="B636" i="9"/>
  <c r="B637" i="9"/>
  <c r="B638" i="9"/>
  <c r="B639" i="9"/>
  <c r="B640" i="9"/>
  <c r="B641" i="9"/>
  <c r="B642" i="9"/>
  <c r="B643" i="9"/>
  <c r="B644" i="9"/>
  <c r="B645" i="9"/>
  <c r="B646" i="9"/>
  <c r="B647" i="9"/>
  <c r="B648" i="9"/>
  <c r="B649" i="9"/>
  <c r="B650" i="9"/>
  <c r="B651" i="9"/>
  <c r="B652" i="9"/>
  <c r="B653" i="9"/>
  <c r="B654" i="9"/>
  <c r="B655" i="9"/>
  <c r="B656" i="9"/>
  <c r="B657" i="9"/>
  <c r="B658" i="9"/>
  <c r="B659" i="9"/>
  <c r="B660" i="9"/>
  <c r="B661" i="9"/>
  <c r="B662" i="9"/>
  <c r="B663" i="9"/>
  <c r="B664" i="9"/>
  <c r="B665" i="9"/>
  <c r="B666" i="9"/>
  <c r="B667" i="9"/>
  <c r="B668" i="9"/>
  <c r="B669" i="9"/>
  <c r="B670" i="9"/>
  <c r="B671" i="9"/>
  <c r="B672" i="9"/>
  <c r="B673" i="9"/>
  <c r="B674" i="9"/>
  <c r="B675" i="9"/>
  <c r="B676" i="9"/>
  <c r="B677" i="9"/>
  <c r="B678" i="9"/>
  <c r="B679" i="9"/>
  <c r="B680" i="9"/>
  <c r="B681" i="9"/>
  <c r="B682" i="9"/>
  <c r="B683" i="9"/>
  <c r="B684" i="9"/>
  <c r="B685" i="9"/>
  <c r="B686" i="9"/>
  <c r="B687" i="9"/>
  <c r="B688" i="9"/>
  <c r="B689" i="9"/>
  <c r="B690" i="9"/>
  <c r="B691" i="9"/>
  <c r="B692" i="9"/>
  <c r="B693" i="9"/>
  <c r="B694" i="9"/>
  <c r="B695" i="9"/>
  <c r="B696" i="9"/>
  <c r="B697" i="9"/>
  <c r="B698" i="9"/>
  <c r="B699" i="9"/>
  <c r="B700" i="9"/>
  <c r="B701" i="9"/>
  <c r="B702" i="9"/>
  <c r="B703" i="9"/>
  <c r="B704" i="9"/>
  <c r="B705" i="9"/>
  <c r="B706" i="9"/>
  <c r="B707" i="9"/>
  <c r="B708" i="9"/>
  <c r="B709" i="9"/>
  <c r="B710" i="9"/>
  <c r="B711" i="9"/>
  <c r="B712" i="9"/>
  <c r="B713" i="9"/>
  <c r="B714" i="9"/>
  <c r="B715" i="9"/>
  <c r="B716" i="9"/>
  <c r="B717" i="9"/>
  <c r="B718" i="9"/>
  <c r="B719" i="9"/>
  <c r="B720" i="9"/>
  <c r="B721" i="9"/>
  <c r="B722" i="9"/>
  <c r="B723" i="9"/>
  <c r="B724" i="9"/>
  <c r="B725" i="9"/>
  <c r="B726" i="9"/>
  <c r="B727" i="9"/>
  <c r="B728" i="9"/>
  <c r="B729" i="9"/>
  <c r="B730" i="9"/>
  <c r="B731" i="9"/>
  <c r="B732" i="9"/>
  <c r="B733" i="9"/>
  <c r="B734" i="9"/>
  <c r="B735" i="9"/>
  <c r="B736" i="9"/>
  <c r="B737" i="9"/>
  <c r="B738" i="9"/>
  <c r="B739" i="9"/>
  <c r="B740" i="9"/>
  <c r="B741" i="9"/>
  <c r="B742" i="9"/>
  <c r="B743" i="9"/>
  <c r="B744" i="9"/>
  <c r="B745" i="9"/>
  <c r="B746" i="9"/>
  <c r="B747" i="9"/>
  <c r="B748" i="9"/>
  <c r="B749" i="9"/>
  <c r="B750" i="9"/>
  <c r="B751" i="9"/>
  <c r="B752" i="9"/>
  <c r="B753" i="9"/>
  <c r="B754" i="9"/>
  <c r="B755" i="9"/>
  <c r="B756" i="9"/>
  <c r="B757" i="9"/>
  <c r="B758" i="9"/>
  <c r="B759" i="9"/>
  <c r="B760" i="9"/>
  <c r="B761" i="9"/>
  <c r="B762" i="9"/>
  <c r="B763" i="9"/>
  <c r="B764" i="9"/>
  <c r="B765" i="9"/>
  <c r="B766" i="9"/>
  <c r="B767" i="9"/>
  <c r="B768" i="9"/>
  <c r="B769" i="9"/>
  <c r="B770" i="9"/>
  <c r="B771" i="9"/>
  <c r="B772" i="9"/>
  <c r="B773" i="9"/>
  <c r="B774" i="9"/>
  <c r="B775" i="9"/>
  <c r="B776" i="9"/>
  <c r="B777" i="9"/>
  <c r="B778" i="9"/>
  <c r="B779" i="9"/>
  <c r="B780" i="9"/>
  <c r="B781" i="9"/>
  <c r="B782" i="9"/>
  <c r="B783" i="9"/>
  <c r="B784" i="9"/>
  <c r="B785" i="9"/>
  <c r="B786" i="9"/>
  <c r="B787" i="9"/>
  <c r="B788" i="9"/>
  <c r="B789" i="9"/>
  <c r="B790" i="9"/>
  <c r="B791" i="9"/>
  <c r="B792" i="9"/>
  <c r="B793" i="9"/>
  <c r="B794" i="9"/>
  <c r="B795" i="9"/>
  <c r="B796" i="9"/>
  <c r="B797" i="9"/>
  <c r="B798" i="9"/>
  <c r="B799" i="9"/>
  <c r="B800" i="9"/>
  <c r="B801" i="9"/>
  <c r="B802" i="9"/>
  <c r="B803" i="9"/>
  <c r="B804" i="9"/>
  <c r="B805" i="9"/>
  <c r="B806" i="9"/>
  <c r="B807" i="9"/>
  <c r="B808" i="9"/>
  <c r="B809" i="9"/>
  <c r="B810" i="9"/>
  <c r="B811" i="9"/>
  <c r="B812" i="9"/>
  <c r="B813" i="9"/>
  <c r="B814" i="9"/>
  <c r="B815" i="9"/>
  <c r="B816" i="9"/>
  <c r="B817" i="9"/>
  <c r="B818" i="9"/>
  <c r="B819" i="9"/>
  <c r="B820" i="9"/>
  <c r="B821" i="9"/>
  <c r="B822" i="9"/>
  <c r="B823" i="9"/>
  <c r="B824" i="9"/>
  <c r="B825" i="9"/>
  <c r="B826" i="9"/>
  <c r="B827" i="9"/>
  <c r="B828" i="9"/>
  <c r="B829" i="9"/>
  <c r="B830" i="9"/>
  <c r="B831" i="9"/>
  <c r="B832" i="9"/>
  <c r="B833" i="9"/>
  <c r="B834" i="9"/>
  <c r="B835" i="9"/>
  <c r="B836" i="9"/>
  <c r="B837" i="9"/>
  <c r="B838" i="9"/>
  <c r="B839" i="9"/>
  <c r="B840" i="9"/>
  <c r="B841" i="9"/>
  <c r="B842" i="9"/>
  <c r="B843" i="9"/>
  <c r="B844" i="9"/>
  <c r="B845" i="9"/>
  <c r="B846" i="9"/>
  <c r="B847" i="9"/>
  <c r="B848" i="9"/>
  <c r="B849" i="9"/>
  <c r="B850" i="9"/>
  <c r="B851" i="9"/>
  <c r="B852" i="9"/>
  <c r="B853" i="9"/>
  <c r="B854" i="9"/>
  <c r="B855" i="9"/>
  <c r="B856" i="9"/>
  <c r="B857" i="9"/>
  <c r="B858" i="9"/>
  <c r="B859" i="9"/>
  <c r="B860" i="9"/>
  <c r="B861" i="9"/>
  <c r="B862" i="9"/>
  <c r="B863" i="9"/>
  <c r="B864" i="9"/>
  <c r="B865" i="9"/>
  <c r="B866" i="9"/>
  <c r="B867" i="9"/>
  <c r="B868" i="9"/>
  <c r="B869" i="9"/>
  <c r="B870" i="9"/>
  <c r="B871" i="9"/>
  <c r="B872" i="9"/>
  <c r="B873" i="9"/>
  <c r="B874" i="9"/>
  <c r="B875" i="9"/>
  <c r="B876" i="9"/>
  <c r="B877" i="9"/>
  <c r="B878" i="9"/>
  <c r="B879" i="9"/>
  <c r="B880" i="9"/>
  <c r="B881" i="9"/>
  <c r="B882" i="9"/>
  <c r="B883" i="9"/>
  <c r="B884" i="9"/>
  <c r="B885" i="9"/>
  <c r="B886" i="9"/>
  <c r="B887" i="9"/>
  <c r="B888" i="9"/>
  <c r="B889" i="9"/>
  <c r="B890" i="9"/>
  <c r="B891" i="9"/>
  <c r="B892" i="9"/>
  <c r="B893" i="9"/>
  <c r="B894" i="9"/>
  <c r="B895" i="9"/>
  <c r="B896" i="9"/>
  <c r="B897" i="9"/>
  <c r="B898" i="9"/>
  <c r="B899" i="9"/>
  <c r="B900" i="9"/>
  <c r="B901" i="9"/>
  <c r="B902" i="9"/>
  <c r="B903" i="9"/>
  <c r="B904" i="9"/>
  <c r="B905" i="9"/>
  <c r="B906" i="9"/>
  <c r="B907" i="9"/>
  <c r="B908" i="9"/>
  <c r="B909" i="9"/>
  <c r="B910" i="9"/>
  <c r="B911" i="9"/>
  <c r="B912" i="9"/>
  <c r="B913" i="9"/>
  <c r="B914" i="9"/>
  <c r="B915" i="9"/>
  <c r="B916" i="9"/>
  <c r="B917" i="9"/>
  <c r="B918" i="9"/>
  <c r="B919" i="9"/>
  <c r="B920" i="9"/>
  <c r="B921" i="9"/>
  <c r="B922" i="9"/>
  <c r="B923" i="9"/>
  <c r="B924" i="9"/>
  <c r="B925" i="9"/>
  <c r="B926" i="9"/>
  <c r="B927" i="9"/>
  <c r="B928" i="9"/>
  <c r="B929" i="9"/>
  <c r="B930" i="9"/>
  <c r="B931" i="9"/>
  <c r="B932" i="9"/>
  <c r="B933" i="9"/>
  <c r="B934" i="9"/>
  <c r="B935" i="9"/>
  <c r="B936" i="9"/>
  <c r="B937" i="9"/>
  <c r="B938" i="9"/>
  <c r="B939" i="9"/>
  <c r="B940" i="9"/>
  <c r="B941" i="9"/>
  <c r="B942" i="9"/>
  <c r="B943" i="9"/>
  <c r="B944" i="9"/>
  <c r="B945" i="9"/>
  <c r="B946" i="9"/>
  <c r="B947" i="9"/>
  <c r="B948" i="9"/>
  <c r="B949" i="9"/>
  <c r="B950" i="9"/>
  <c r="B951" i="9"/>
  <c r="B952" i="9"/>
  <c r="B953" i="9"/>
  <c r="B954" i="9"/>
  <c r="B955" i="9"/>
  <c r="B956" i="9"/>
  <c r="B957" i="9"/>
  <c r="B958" i="9"/>
  <c r="B959" i="9"/>
  <c r="B960" i="9"/>
  <c r="B961" i="9"/>
  <c r="B962" i="9"/>
  <c r="B963" i="9"/>
  <c r="B964" i="9"/>
  <c r="B965" i="9"/>
  <c r="B966" i="9"/>
  <c r="B967" i="9"/>
  <c r="B968" i="9"/>
  <c r="B969" i="9"/>
  <c r="B970" i="9"/>
  <c r="B971" i="9"/>
  <c r="B972" i="9"/>
  <c r="B973" i="9"/>
  <c r="B974" i="9"/>
  <c r="B975" i="9"/>
  <c r="B976" i="9"/>
  <c r="B977" i="9"/>
  <c r="B978" i="9"/>
  <c r="B979" i="9"/>
  <c r="B980" i="9"/>
  <c r="B981" i="9"/>
  <c r="B982" i="9"/>
  <c r="B983" i="9"/>
  <c r="B984" i="9"/>
  <c r="B985" i="9"/>
  <c r="B986" i="9"/>
  <c r="B987" i="9"/>
  <c r="B988" i="9"/>
  <c r="B989" i="9"/>
  <c r="B990" i="9"/>
  <c r="B991" i="9"/>
  <c r="B992" i="9"/>
  <c r="B993" i="9"/>
  <c r="B994" i="9"/>
  <c r="B995" i="9"/>
  <c r="B996" i="9"/>
  <c r="B997" i="9"/>
  <c r="B998" i="9"/>
  <c r="B999" i="9"/>
  <c r="B1000" i="9"/>
  <c r="B1001" i="9"/>
  <c r="B1002" i="9"/>
  <c r="B1003" i="9"/>
  <c r="B1004" i="9"/>
  <c r="B1005" i="9"/>
  <c r="B1006" i="9"/>
  <c r="B1007" i="9"/>
  <c r="B1008" i="9"/>
  <c r="B1009" i="9"/>
  <c r="B1010" i="9"/>
  <c r="B1011" i="9"/>
  <c r="B1012" i="9"/>
  <c r="B1013" i="9"/>
  <c r="B1014" i="9"/>
  <c r="B1015" i="9"/>
  <c r="B1016" i="9"/>
  <c r="B1017" i="9"/>
  <c r="B1018" i="9"/>
  <c r="B1019" i="9"/>
  <c r="B1020" i="9"/>
  <c r="B1021" i="9"/>
  <c r="B1022" i="9"/>
  <c r="B1023" i="9"/>
  <c r="B1024" i="9"/>
  <c r="B1025" i="9"/>
  <c r="B1026" i="9"/>
  <c r="B1027" i="9"/>
  <c r="B1028" i="9"/>
  <c r="B1029" i="9"/>
  <c r="B1030" i="9"/>
  <c r="B1031" i="9"/>
  <c r="B1032" i="9"/>
  <c r="B1033" i="9"/>
  <c r="B1034" i="9"/>
  <c r="B1035" i="9"/>
  <c r="B1036" i="9"/>
  <c r="B1037" i="9"/>
  <c r="B1038" i="9"/>
  <c r="B1039" i="9"/>
  <c r="B1040" i="9"/>
  <c r="B1041" i="9"/>
  <c r="B1042" i="9"/>
  <c r="B1043" i="9"/>
  <c r="B1044" i="9"/>
  <c r="B1045" i="9"/>
  <c r="B1046" i="9"/>
  <c r="B1047" i="9"/>
  <c r="B1048" i="9"/>
  <c r="B1049" i="9"/>
  <c r="B1050" i="9"/>
  <c r="B1051" i="9"/>
  <c r="B1052" i="9"/>
  <c r="B1053" i="9"/>
  <c r="B1054" i="9"/>
  <c r="B1055" i="9"/>
  <c r="B1056" i="9"/>
  <c r="B1057" i="9"/>
  <c r="B1058" i="9"/>
  <c r="B1059" i="9"/>
  <c r="B1060" i="9"/>
  <c r="B1061" i="9"/>
  <c r="B1062" i="9"/>
  <c r="B1063" i="9"/>
  <c r="B1064" i="9"/>
  <c r="B1065" i="9"/>
  <c r="B1066" i="9"/>
  <c r="B1067" i="9"/>
  <c r="B1068" i="9"/>
  <c r="B1069" i="9"/>
  <c r="B1070" i="9"/>
  <c r="B1071" i="9"/>
  <c r="B1072" i="9"/>
  <c r="B1073" i="9"/>
  <c r="B1074" i="9"/>
  <c r="B1075" i="9"/>
  <c r="B1076" i="9"/>
  <c r="B1077" i="9"/>
  <c r="B1078" i="9"/>
  <c r="B1079" i="9"/>
  <c r="B1080" i="9"/>
  <c r="B1081" i="9"/>
  <c r="B1082" i="9"/>
  <c r="B1083" i="9"/>
  <c r="B1084" i="9"/>
  <c r="B1085" i="9"/>
  <c r="B1086" i="9"/>
  <c r="B1087" i="9"/>
  <c r="B1088" i="9"/>
  <c r="B1089" i="9"/>
  <c r="B1090" i="9"/>
  <c r="B1091" i="9"/>
  <c r="B1092" i="9"/>
  <c r="B1093" i="9"/>
  <c r="B1094" i="9"/>
  <c r="B1095" i="9"/>
  <c r="B1096" i="9"/>
  <c r="B1097" i="9"/>
  <c r="M4" i="1"/>
  <c r="L4" i="1"/>
  <c r="K4" i="1"/>
  <c r="J4" i="1"/>
  <c r="I4" i="1"/>
  <c r="H4" i="1"/>
  <c r="G4" i="1"/>
  <c r="F4" i="1"/>
  <c r="E4" i="1"/>
  <c r="D4" i="1"/>
  <c r="D14" i="10"/>
  <c r="Q61" i="11"/>
  <c r="G13" i="10" s="1"/>
  <c r="D13" i="10" s="1"/>
  <c r="G61" i="11"/>
  <c r="G11" i="10" s="1"/>
  <c r="H8" i="11"/>
  <c r="H9" i="11"/>
  <c r="H10" i="11"/>
  <c r="H11" i="11"/>
  <c r="H12" i="11"/>
  <c r="H13" i="11"/>
  <c r="H14" i="11"/>
  <c r="H15" i="11"/>
  <c r="H16" i="11"/>
  <c r="H17" i="11"/>
  <c r="H18" i="11"/>
  <c r="H19" i="11"/>
  <c r="H20" i="11"/>
  <c r="H21" i="11"/>
  <c r="H22" i="11"/>
  <c r="H23" i="11"/>
  <c r="H24" i="11"/>
  <c r="H25" i="11"/>
  <c r="H26" i="11"/>
  <c r="H27" i="11"/>
  <c r="H28" i="11"/>
  <c r="H29" i="11"/>
  <c r="H30" i="11"/>
  <c r="H31" i="11"/>
  <c r="H32" i="11"/>
  <c r="H33" i="11"/>
  <c r="H34" i="11"/>
  <c r="H35" i="11"/>
  <c r="H36" i="11"/>
  <c r="H37" i="11"/>
  <c r="H38" i="11"/>
  <c r="H39" i="11"/>
  <c r="H40" i="11"/>
  <c r="H41" i="11"/>
  <c r="H42" i="11"/>
  <c r="H43" i="11"/>
  <c r="H44" i="11"/>
  <c r="H45" i="11"/>
  <c r="H46" i="11"/>
  <c r="H47" i="11"/>
  <c r="H48" i="11"/>
  <c r="H49" i="11"/>
  <c r="H50" i="11"/>
  <c r="H51" i="11"/>
  <c r="H52" i="11"/>
  <c r="H53" i="11"/>
  <c r="H54" i="11"/>
  <c r="H55" i="11"/>
  <c r="H56" i="11"/>
  <c r="H57" i="11"/>
  <c r="H58" i="11"/>
  <c r="H59" i="11"/>
  <c r="H60" i="11"/>
  <c r="H7" i="11"/>
  <c r="G10" i="10"/>
  <c r="D10" i="10"/>
  <c r="D9" i="10"/>
  <c r="D8" i="10"/>
  <c r="D7" i="10"/>
  <c r="G9" i="10"/>
  <c r="G8" i="10"/>
  <c r="G7" i="10"/>
  <c r="D6" i="10"/>
  <c r="G6" i="10"/>
  <c r="L56" i="1"/>
  <c r="L55" i="1"/>
  <c r="L54" i="1"/>
  <c r="L53" i="1"/>
  <c r="L52" i="1"/>
  <c r="L51" i="1"/>
  <c r="L50" i="1"/>
  <c r="L49" i="1"/>
  <c r="L48" i="1"/>
  <c r="L47" i="1"/>
  <c r="L46" i="1"/>
  <c r="J56" i="1"/>
  <c r="J55" i="1"/>
  <c r="J54" i="1"/>
  <c r="J53" i="1"/>
  <c r="J52" i="1"/>
  <c r="J51" i="1"/>
  <c r="J50" i="1"/>
  <c r="J49" i="1"/>
  <c r="J48" i="1"/>
  <c r="J47" i="1"/>
  <c r="J46" i="1"/>
  <c r="H56" i="1"/>
  <c r="H55" i="1"/>
  <c r="H54" i="1"/>
  <c r="H53" i="1"/>
  <c r="H52" i="1"/>
  <c r="H51" i="1"/>
  <c r="H50" i="1"/>
  <c r="H49" i="1"/>
  <c r="H48" i="1"/>
  <c r="H47" i="1"/>
  <c r="H46" i="1"/>
  <c r="E56" i="1"/>
  <c r="E55" i="1"/>
  <c r="E54" i="1"/>
  <c r="E53" i="1"/>
  <c r="E52" i="1"/>
  <c r="E51" i="1"/>
  <c r="E50" i="1"/>
  <c r="E49" i="1"/>
  <c r="E48" i="1"/>
  <c r="E47" i="1"/>
  <c r="E46" i="1"/>
  <c r="L45" i="1"/>
  <c r="K45" i="1"/>
  <c r="J45" i="1"/>
  <c r="I45" i="1"/>
  <c r="H45" i="1"/>
  <c r="G45" i="1"/>
  <c r="F45" i="1"/>
  <c r="E45" i="1"/>
  <c r="H61" i="11" l="1"/>
  <c r="G12" i="10"/>
  <c r="D11" i="10"/>
  <c r="D12" i="10" s="1"/>
  <c r="E7" i="10"/>
  <c r="E6" i="10"/>
  <c r="E9" i="10"/>
  <c r="E8" i="10"/>
  <c r="E10" i="10" l="1"/>
  <c r="E11" i="10" l="1"/>
  <c r="E12" i="10" l="1"/>
  <c r="G5" i="7" a="1"/>
  <c r="G5" i="7" s="1"/>
  <c r="G6" i="7" a="1"/>
  <c r="G6" i="7" s="1"/>
  <c r="G7" i="7" a="1"/>
  <c r="G7" i="7"/>
  <c r="G8" i="7" a="1"/>
  <c r="G8" i="7"/>
  <c r="G9" i="7" a="1"/>
  <c r="G9" i="7" s="1"/>
  <c r="G10" i="7" a="1"/>
  <c r="G10" i="7" s="1"/>
  <c r="G11" i="7" a="1"/>
  <c r="G11" i="7"/>
  <c r="G12" i="7" a="1"/>
  <c r="G12" i="7"/>
  <c r="G13" i="7" a="1"/>
  <c r="G13" i="7" s="1"/>
  <c r="G14" i="7" a="1"/>
  <c r="G14" i="7" s="1"/>
  <c r="G15" i="7" a="1"/>
  <c r="G15" i="7"/>
  <c r="G16" i="7" a="1"/>
  <c r="G16" i="7"/>
  <c r="G17" i="7" a="1"/>
  <c r="G17" i="7" s="1"/>
  <c r="G18" i="7" a="1"/>
  <c r="G18" i="7" s="1"/>
  <c r="G19" i="7" a="1"/>
  <c r="G19" i="7"/>
  <c r="G20" i="7" a="1"/>
  <c r="G20" i="7"/>
  <c r="G21" i="7" a="1"/>
  <c r="G21" i="7" s="1"/>
  <c r="G22" i="7" a="1"/>
  <c r="G22" i="7" s="1"/>
  <c r="G23" i="7" a="1"/>
  <c r="G23" i="7"/>
  <c r="G24" i="7" a="1"/>
  <c r="G24" i="7"/>
  <c r="G25" i="7" a="1"/>
  <c r="G25" i="7" s="1"/>
  <c r="G26" i="7" a="1"/>
  <c r="G26" i="7" s="1"/>
  <c r="G27" i="7" a="1"/>
  <c r="G27" i="7"/>
  <c r="G28" i="7" a="1"/>
  <c r="G28" i="7"/>
  <c r="G29" i="7" a="1"/>
  <c r="G29" i="7" s="1"/>
  <c r="G30" i="7" a="1"/>
  <c r="G30" i="7" s="1"/>
  <c r="G31" i="7" a="1"/>
  <c r="G31" i="7"/>
  <c r="G32" i="7" a="1"/>
  <c r="G32" i="7"/>
  <c r="G33" i="7" a="1"/>
  <c r="G33" i="7" s="1"/>
  <c r="G34" i="7" a="1"/>
  <c r="G34" i="7" s="1"/>
  <c r="G35" i="7" a="1"/>
  <c r="G35" i="7"/>
  <c r="G36" i="7" a="1"/>
  <c r="G36" i="7"/>
  <c r="G37" i="7" a="1"/>
  <c r="G37" i="7" s="1"/>
  <c r="G38" i="7" a="1"/>
  <c r="G38" i="7" s="1"/>
  <c r="G39" i="7" a="1"/>
  <c r="G39" i="7"/>
  <c r="G40" i="7" a="1"/>
  <c r="G40" i="7"/>
  <c r="G41" i="7" a="1"/>
  <c r="G41" i="7" s="1"/>
  <c r="G42" i="7" a="1"/>
  <c r="G42" i="7" s="1"/>
  <c r="G43" i="7" a="1"/>
  <c r="G43" i="7"/>
  <c r="G44" i="7" a="1"/>
  <c r="G44" i="7"/>
  <c r="G45" i="7" a="1"/>
  <c r="G45" i="7" s="1"/>
  <c r="G46" i="7" a="1"/>
  <c r="G46" i="7" s="1"/>
  <c r="G47" i="7" a="1"/>
  <c r="G47" i="7"/>
  <c r="G48" i="7" a="1"/>
  <c r="G48" i="7"/>
  <c r="G49" i="7" a="1"/>
  <c r="G49" i="7" s="1"/>
  <c r="G50" i="7" a="1"/>
  <c r="G50" i="7" s="1"/>
  <c r="G51" i="7" a="1"/>
  <c r="G51" i="7"/>
  <c r="G52" i="7" a="1"/>
  <c r="G52" i="7"/>
  <c r="G53" i="7" a="1"/>
  <c r="G53" i="7" s="1"/>
  <c r="G54" i="7" a="1"/>
  <c r="G54" i="7" s="1"/>
  <c r="G55" i="7" a="1"/>
  <c r="G55" i="7"/>
  <c r="G56" i="7" a="1"/>
  <c r="G56" i="7"/>
  <c r="G57" i="7" a="1"/>
  <c r="G57" i="7" s="1"/>
  <c r="G58" i="7" a="1"/>
  <c r="G58" i="7" s="1"/>
  <c r="G52" i="8"/>
  <c r="F59" i="7"/>
  <c r="F52" i="8"/>
  <c r="E59" i="7"/>
  <c r="E89" i="5"/>
  <c r="I3" i="6"/>
  <c r="E3" i="6"/>
  <c r="A3" i="6"/>
  <c r="G138" i="5"/>
  <c r="G139" i="5"/>
  <c r="E13" i="10" l="1"/>
  <c r="M3" i="6"/>
  <c r="N28" i="1"/>
  <c r="N29" i="1"/>
  <c r="N30" i="1"/>
  <c r="N31" i="1"/>
  <c r="M28" i="1"/>
  <c r="M29" i="1"/>
  <c r="M30" i="1"/>
  <c r="M31" i="1"/>
  <c r="L28" i="1"/>
  <c r="L29" i="1"/>
  <c r="L30" i="1"/>
  <c r="L31" i="1"/>
  <c r="K28" i="1"/>
  <c r="K29" i="1"/>
  <c r="K30" i="1"/>
  <c r="K31" i="1"/>
  <c r="J28" i="1"/>
  <c r="J29" i="1"/>
  <c r="J30" i="1"/>
  <c r="J31" i="1"/>
  <c r="I28" i="1"/>
  <c r="I29" i="1"/>
  <c r="I30" i="1"/>
  <c r="I31" i="1"/>
  <c r="H28" i="1"/>
  <c r="H29" i="1"/>
  <c r="H30" i="1"/>
  <c r="H31" i="1"/>
  <c r="G28" i="1"/>
  <c r="G29" i="1"/>
  <c r="G30" i="1"/>
  <c r="G31" i="1"/>
  <c r="F28" i="1"/>
  <c r="F29" i="1"/>
  <c r="F30" i="1"/>
  <c r="F31" i="1"/>
  <c r="E28" i="1"/>
  <c r="E29" i="1"/>
  <c r="E30" i="1"/>
  <c r="E31" i="1"/>
  <c r="D28" i="1"/>
  <c r="D29" i="1"/>
  <c r="D30" i="1"/>
  <c r="D31" i="1"/>
  <c r="C28" i="1"/>
  <c r="C29" i="1"/>
  <c r="C30" i="1"/>
  <c r="C31" i="1"/>
  <c r="C25" i="1"/>
  <c r="N25" i="1"/>
  <c r="N26" i="1"/>
  <c r="M25" i="1"/>
  <c r="M26" i="1"/>
  <c r="L25" i="1"/>
  <c r="L26" i="1"/>
  <c r="K25" i="1"/>
  <c r="K26" i="1"/>
  <c r="J25" i="1"/>
  <c r="J26" i="1"/>
  <c r="I25" i="1"/>
  <c r="I26" i="1"/>
  <c r="H25" i="1"/>
  <c r="H26" i="1"/>
  <c r="G25" i="1"/>
  <c r="G26" i="1"/>
  <c r="F25" i="1"/>
  <c r="F26" i="1"/>
  <c r="E25" i="1"/>
  <c r="E26" i="1"/>
  <c r="D25" i="1"/>
  <c r="D26" i="1"/>
  <c r="C26" i="1"/>
  <c r="C18" i="1"/>
  <c r="N18" i="1"/>
  <c r="N19" i="1"/>
  <c r="N20" i="1"/>
  <c r="N21" i="1"/>
  <c r="N22" i="1"/>
  <c r="N23" i="1"/>
  <c r="M18" i="1"/>
  <c r="M19" i="1"/>
  <c r="M20" i="1"/>
  <c r="M21" i="1"/>
  <c r="M22" i="1"/>
  <c r="M23" i="1"/>
  <c r="L18" i="1"/>
  <c r="L19" i="1"/>
  <c r="L20" i="1"/>
  <c r="L21" i="1"/>
  <c r="L22" i="1"/>
  <c r="L23" i="1"/>
  <c r="K18" i="1"/>
  <c r="K19" i="1"/>
  <c r="K20" i="1"/>
  <c r="K21" i="1"/>
  <c r="K22" i="1"/>
  <c r="K23" i="1"/>
  <c r="J18" i="1"/>
  <c r="J19" i="1"/>
  <c r="J20" i="1"/>
  <c r="J21" i="1"/>
  <c r="J22" i="1"/>
  <c r="J23" i="1"/>
  <c r="I18" i="1"/>
  <c r="I19" i="1"/>
  <c r="I20" i="1"/>
  <c r="I21" i="1"/>
  <c r="I22" i="1"/>
  <c r="I23" i="1"/>
  <c r="H18" i="1"/>
  <c r="H19" i="1"/>
  <c r="H20" i="1"/>
  <c r="H21" i="1"/>
  <c r="H22" i="1"/>
  <c r="H23" i="1"/>
  <c r="G18" i="1"/>
  <c r="G19" i="1"/>
  <c r="G20" i="1"/>
  <c r="G21" i="1"/>
  <c r="G22" i="1"/>
  <c r="G23" i="1"/>
  <c r="F18" i="1"/>
  <c r="F19" i="1"/>
  <c r="F20" i="1"/>
  <c r="F21" i="1"/>
  <c r="F22" i="1"/>
  <c r="F23" i="1"/>
  <c r="E18" i="1"/>
  <c r="E19" i="1"/>
  <c r="E20" i="1"/>
  <c r="E21" i="1"/>
  <c r="E22" i="1"/>
  <c r="E23" i="1"/>
  <c r="D18" i="1"/>
  <c r="D19" i="1"/>
  <c r="D20" i="1"/>
  <c r="D21" i="1"/>
  <c r="D22" i="1"/>
  <c r="D23" i="1"/>
  <c r="C19" i="1"/>
  <c r="C20" i="1"/>
  <c r="C21" i="1"/>
  <c r="C22" i="1"/>
  <c r="C23" i="1"/>
  <c r="C8" i="1"/>
  <c r="C9" i="1"/>
  <c r="N11" i="1"/>
  <c r="M11" i="1"/>
  <c r="L11" i="1"/>
  <c r="K11" i="1"/>
  <c r="J11" i="1"/>
  <c r="I11" i="1"/>
  <c r="H11" i="1"/>
  <c r="G11" i="1"/>
  <c r="F11" i="1"/>
  <c r="E11" i="1"/>
  <c r="D11" i="1"/>
  <c r="C11" i="1"/>
  <c r="E14" i="10" l="1"/>
  <c r="E15" i="10"/>
  <c r="J32" i="1"/>
  <c r="N32" i="1"/>
  <c r="L32" i="1"/>
  <c r="K32" i="1"/>
  <c r="M32" i="1"/>
  <c r="I32" i="1"/>
  <c r="I8" i="1"/>
  <c r="G8" i="1"/>
  <c r="M8" i="1"/>
  <c r="N8" i="1"/>
  <c r="E8" i="1"/>
  <c r="K8" i="1"/>
  <c r="C10" i="1"/>
  <c r="D10" i="1"/>
  <c r="F10" i="1"/>
  <c r="H10" i="1"/>
  <c r="J10" i="1"/>
  <c r="L10" i="1"/>
  <c r="N10" i="1"/>
  <c r="D9" i="1"/>
  <c r="F9" i="1"/>
  <c r="H9" i="1"/>
  <c r="J9" i="1"/>
  <c r="L9" i="1"/>
  <c r="N9" i="1"/>
  <c r="D8" i="1"/>
  <c r="F8" i="1"/>
  <c r="H8" i="1"/>
  <c r="J8" i="1"/>
  <c r="L8" i="1"/>
  <c r="E10" i="1"/>
  <c r="G10" i="1"/>
  <c r="I10" i="1"/>
  <c r="K10" i="1"/>
  <c r="M10" i="1"/>
  <c r="E9" i="1"/>
  <c r="G9" i="1"/>
  <c r="I9" i="1"/>
  <c r="K9" i="1"/>
  <c r="M9" i="1"/>
  <c r="O28" i="1"/>
  <c r="O29" i="1"/>
  <c r="O30" i="1"/>
  <c r="O31" i="1"/>
  <c r="O25" i="1"/>
  <c r="O26" i="1"/>
  <c r="O18" i="1"/>
  <c r="O19" i="1"/>
  <c r="O20" i="1"/>
  <c r="O21" i="1"/>
  <c r="O22" i="1"/>
  <c r="O23" i="1"/>
  <c r="D32" i="1"/>
  <c r="E32" i="1"/>
  <c r="F32" i="1"/>
  <c r="G32" i="1"/>
  <c r="H32" i="1"/>
  <c r="C32" i="1"/>
  <c r="O11" i="1"/>
  <c r="L12" i="1" l="1"/>
  <c r="L34" i="1" s="1"/>
  <c r="K12" i="1"/>
  <c r="K34" i="1" s="1"/>
  <c r="N12" i="1"/>
  <c r="N34" i="1" s="1"/>
  <c r="M12" i="1"/>
  <c r="M34" i="1" s="1"/>
  <c r="C12" i="1"/>
  <c r="C34" i="1" s="1"/>
  <c r="I12" i="1"/>
  <c r="I34" i="1" s="1"/>
  <c r="G12" i="1"/>
  <c r="G34" i="1" s="1"/>
  <c r="E12" i="1"/>
  <c r="E34" i="1" s="1"/>
  <c r="H12" i="1"/>
  <c r="H34" i="1" s="1"/>
  <c r="D12" i="1"/>
  <c r="D34" i="1" s="1"/>
  <c r="O10" i="1"/>
  <c r="O8" i="1"/>
  <c r="J12" i="1"/>
  <c r="J34" i="1" s="1"/>
  <c r="F12" i="1"/>
  <c r="F34" i="1" s="1"/>
  <c r="O9" i="1"/>
  <c r="O32" i="1"/>
  <c r="O12" i="1" l="1"/>
  <c r="O34"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C7B1B2D-F65A-4226-AFAB-3D604882B0F2}"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3D9AB22-CF2F-4043-A78B-2C9D318A8983}" name="WorksheetConnection_My_Finances_With_VBA (version 2).xlsm!depense" type="102" refreshedVersion="8" minRefreshableVersion="5">
    <extLst>
      <ext xmlns:x15="http://schemas.microsoft.com/office/spreadsheetml/2010/11/main" uri="{DE250136-89BD-433C-8126-D09CA5730AF9}">
        <x15:connection id="depense">
          <x15:rangePr sourceName="_xlcn.WorksheetConnection_My_Finances_With_VBAversion2.xlsmdepense1"/>
        </x15:connection>
      </ext>
    </extLst>
  </connection>
  <connection id="3" xr16:uid="{BEB93E71-9237-43F2-B3ED-CCFFBB7B49C0}" name="WorksheetConnection_My_Finances_With_VBA (version 2).xlsm!maison" type="102" refreshedVersion="8" minRefreshableVersion="5">
    <extLst>
      <ext xmlns:x15="http://schemas.microsoft.com/office/spreadsheetml/2010/11/main" uri="{DE250136-89BD-433C-8126-D09CA5730AF9}">
        <x15:connection id="maison">
          <x15:rangePr sourceName="_xlcn.WorksheetConnection_My_Finances_With_VBAversion2.xlsmmaison1"/>
        </x15:connection>
      </ext>
    </extLst>
  </connection>
  <connection id="4" xr16:uid="{DD1503B5-147B-42B5-BAFE-A382A9F8DE62}" name="WorksheetConnection_My_Finances_With_VBA (version 2).xlsm!nourriture" type="102" refreshedVersion="8" minRefreshableVersion="5">
    <extLst>
      <ext xmlns:x15="http://schemas.microsoft.com/office/spreadsheetml/2010/11/main" uri="{DE250136-89BD-433C-8126-D09CA5730AF9}">
        <x15:connection id="nourriture">
          <x15:rangePr sourceName="_xlcn.WorksheetConnection_My_Finances_With_VBAversion2.xlsmnourriture1"/>
        </x15:connection>
      </ext>
    </extLst>
  </connection>
  <connection id="5" xr16:uid="{17BF3263-4817-46E7-BB4A-76323A8CE5AC}" name="WorksheetConnection_My_Finances_With_VBA (version 2).xlsm!revenue" type="102" refreshedVersion="8" minRefreshableVersion="5">
    <extLst>
      <ext xmlns:x15="http://schemas.microsoft.com/office/spreadsheetml/2010/11/main" uri="{DE250136-89BD-433C-8126-D09CA5730AF9}">
        <x15:connection id="revenue">
          <x15:rangePr sourceName="_xlcn.WorksheetConnection_My_Finances_With_VBAversion2.xlsmrevenue1"/>
        </x15:connection>
      </ext>
    </extLst>
  </connection>
  <connection id="6" xr16:uid="{45E2AF30-3EE9-4BE9-9D84-BFA2C0602A4C}" name="WorksheetConnection_My_Finances_With_VBA (version 2).xlsm!revenuXYZ" type="102" refreshedVersion="8" minRefreshableVersion="5">
    <extLst>
      <ext xmlns:x15="http://schemas.microsoft.com/office/spreadsheetml/2010/11/main" uri="{DE250136-89BD-433C-8126-D09CA5730AF9}">
        <x15:connection id="revenuXYZ">
          <x15:rangePr sourceName="_xlcn.WorksheetConnection_My_Finances_With_VBAversion2.xlsmrevenuXYZ1"/>
        </x15:connection>
      </ext>
    </extLst>
  </connection>
  <connection id="7" xr16:uid="{BDB88597-246C-4B98-9803-B7BE1D2CFA24}" name="WorksheetConnection_My_Finances_With_VBA (version 2).xlsm!Table14" type="102" refreshedVersion="8" minRefreshableVersion="5">
    <extLst>
      <ext xmlns:x15="http://schemas.microsoft.com/office/spreadsheetml/2010/11/main" uri="{DE250136-89BD-433C-8126-D09CA5730AF9}">
        <x15:connection id="Table14">
          <x15:rangePr sourceName="_xlcn.WorksheetConnection_My_Finances_With_VBAversion2.xlsmTable141"/>
        </x15:connection>
      </ext>
    </extLst>
  </connection>
  <connection id="8" xr16:uid="{EDA67434-02AF-4634-9C6E-4D6044F79F77}" name="WorksheetConnection_My_Finances_With_VBA (version 2).xlsm!transport" type="102" refreshedVersion="8" minRefreshableVersion="5">
    <extLst>
      <ext xmlns:x15="http://schemas.microsoft.com/office/spreadsheetml/2010/11/main" uri="{DE250136-89BD-433C-8126-D09CA5730AF9}">
        <x15:connection id="transport">
          <x15:rangePr sourceName="_xlcn.WorksheetConnection_My_Finances_With_VBAversion2.xlsmtransport1"/>
        </x15:connection>
      </ext>
    </extLst>
  </connection>
  <connection id="9" xr16:uid="{3EA372EE-D574-49E4-BAC2-33662272A868}" name="WorksheetConnection_My_Personal_Finances_With_VBA - Copie.xlsm!dime" type="102" refreshedVersion="8" minRefreshableVersion="5">
    <extLst>
      <ext xmlns:x15="http://schemas.microsoft.com/office/spreadsheetml/2010/11/main" uri="{DE250136-89BD-433C-8126-D09CA5730AF9}">
        <x15:connection id="dime">
          <x15:rangePr sourceName="_xlcn.WorksheetConnection_My_Personal_Finances_With_VBACopie.xlsmdime1"/>
        </x15:connection>
      </ext>
    </extLst>
  </connection>
  <connection id="10" xr16:uid="{2105B039-871C-45A0-9C17-B5F5F6133692}" name="WorksheetConnection_My_Personal_Finances_With_VBA - Copie.xlsm!Epargne" type="102" refreshedVersion="8" minRefreshableVersion="5">
    <extLst>
      <ext xmlns:x15="http://schemas.microsoft.com/office/spreadsheetml/2010/11/main" uri="{DE250136-89BD-433C-8126-D09CA5730AF9}">
        <x15:connection id="Epargne">
          <x15:rangePr sourceName="_xlcn.WorksheetConnection_My_Personal_Finances_With_VBACopie.xlsmEpargne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<sst xmlns="http://schemas.openxmlformats.org/spreadsheetml/2006/main" count="577" uniqueCount="199">
  <si>
    <t>Suivi des revenus et Dépenses personnels</t>
  </si>
  <si>
    <t>Revenu</t>
  </si>
  <si>
    <t>Elements</t>
  </si>
  <si>
    <t>Janv.</t>
  </si>
  <si>
    <t>Fev.</t>
  </si>
  <si>
    <t>Mars.</t>
  </si>
  <si>
    <t>Mai</t>
  </si>
  <si>
    <t>Juin</t>
  </si>
  <si>
    <t>Juillet</t>
  </si>
  <si>
    <t>Aout</t>
  </si>
  <si>
    <t>Sept.</t>
  </si>
  <si>
    <t>Oct.</t>
  </si>
  <si>
    <t>Nov.</t>
  </si>
  <si>
    <t>Avril</t>
  </si>
  <si>
    <t>Dec</t>
  </si>
  <si>
    <t>Year to Date</t>
  </si>
  <si>
    <t>Salaire</t>
  </si>
  <si>
    <t>Freelancing</t>
  </si>
  <si>
    <t>Autres</t>
  </si>
  <si>
    <t>Dépenses</t>
  </si>
  <si>
    <t>Loyer</t>
  </si>
  <si>
    <t>Nourriture</t>
  </si>
  <si>
    <t>Transport</t>
  </si>
  <si>
    <t>Maison</t>
  </si>
  <si>
    <t>Total</t>
  </si>
  <si>
    <t>Gaz</t>
  </si>
  <si>
    <t>Eau</t>
  </si>
  <si>
    <t>Carburant</t>
  </si>
  <si>
    <t>Bus/taxi/train/avion</t>
  </si>
  <si>
    <t>maintenance</t>
  </si>
  <si>
    <t>Epargne / Deficit</t>
  </si>
  <si>
    <t>Date</t>
  </si>
  <si>
    <t>categorie</t>
  </si>
  <si>
    <t>Description</t>
  </si>
  <si>
    <t>montant</t>
  </si>
  <si>
    <t>Don</t>
  </si>
  <si>
    <t>Caegorie</t>
  </si>
  <si>
    <t>Dime</t>
  </si>
  <si>
    <t>Internet</t>
  </si>
  <si>
    <t>Reste</t>
  </si>
  <si>
    <t>Offrande</t>
  </si>
  <si>
    <t>Row Labels</t>
  </si>
  <si>
    <t>Grand Total</t>
  </si>
  <si>
    <t>Sum of Amount</t>
  </si>
  <si>
    <t>Accessoires</t>
  </si>
  <si>
    <t>Accessoire</t>
  </si>
  <si>
    <t>(blank)</t>
  </si>
  <si>
    <t>les depenses</t>
  </si>
  <si>
    <t>montant_CFA</t>
  </si>
  <si>
    <t>Difference</t>
  </si>
  <si>
    <t>mois</t>
  </si>
  <si>
    <t>Autre</t>
  </si>
  <si>
    <t>source</t>
  </si>
  <si>
    <t>Banque</t>
  </si>
  <si>
    <t>Portefeuille</t>
  </si>
  <si>
    <t>Nourriture externe</t>
  </si>
  <si>
    <t>Nourriture interne</t>
  </si>
  <si>
    <t xml:space="preserve">Don venant d'un Ami de longue Date </t>
  </si>
  <si>
    <t>free</t>
  </si>
  <si>
    <t>Salaire mensuel</t>
  </si>
  <si>
    <t>jdsjb</t>
  </si>
  <si>
    <t>Don venant d un Ami de longue date</t>
  </si>
  <si>
    <t xml:space="preserve">Don venant d'una maman de l'église </t>
  </si>
  <si>
    <t>nnnnnnnnn</t>
  </si>
  <si>
    <t>ddddddddd</t>
  </si>
  <si>
    <t>freeeee</t>
  </si>
  <si>
    <t>gvgv</t>
  </si>
  <si>
    <t>hbhbh</t>
  </si>
  <si>
    <t>kewgiwg</t>
  </si>
  <si>
    <t>wfewgjbrg</t>
  </si>
  <si>
    <t>kndsg</t>
  </si>
  <si>
    <t>kjdsb</t>
  </si>
  <si>
    <t>adfjbf</t>
  </si>
  <si>
    <t>bbbbbbbbb</t>
  </si>
  <si>
    <t>kkkkkkkkkkkkkkkkkkkakpeu</t>
  </si>
  <si>
    <t>GOOD</t>
  </si>
  <si>
    <t>YES</t>
  </si>
  <si>
    <t>SALAIRE</t>
  </si>
  <si>
    <t>Electricite</t>
  </si>
  <si>
    <t>Internet &amp; Phone</t>
  </si>
  <si>
    <t>un carte de Recharge</t>
  </si>
  <si>
    <t>EAU</t>
  </si>
  <si>
    <t>rgkegk</t>
  </si>
  <si>
    <t>NNNNNNNNNNNNNNN</t>
  </si>
  <si>
    <t>BBBBBBBBBBBBBBBB</t>
  </si>
  <si>
    <t>LOYERRR</t>
  </si>
  <si>
    <t>Personnal Finance Dashboard</t>
  </si>
  <si>
    <t>Revenue</t>
  </si>
  <si>
    <t>Epargne</t>
  </si>
  <si>
    <t>Sum of montant</t>
  </si>
  <si>
    <t>ELEC</t>
  </si>
  <si>
    <t>juil</t>
  </si>
  <si>
    <t>TotalRevenue</t>
  </si>
  <si>
    <t>TotalDepense</t>
  </si>
  <si>
    <t>TotalReste</t>
  </si>
  <si>
    <t>W 27</t>
  </si>
  <si>
    <t>W 28</t>
  </si>
  <si>
    <t>W 29</t>
  </si>
  <si>
    <t>W 30</t>
  </si>
  <si>
    <t>Depense</t>
  </si>
  <si>
    <t>Loyer du Mois de Janvier</t>
  </si>
  <si>
    <t>Facture d'Electricite Janvier</t>
  </si>
  <si>
    <t>Changement de la bouteille de Gaz Janvier</t>
  </si>
  <si>
    <t>Facture d'eau Mois de janvier</t>
  </si>
  <si>
    <t>Abonnement Inwi</t>
  </si>
  <si>
    <t>Quelques vetement de plus</t>
  </si>
  <si>
    <t>Quelques éléments pour entretien de la maison</t>
  </si>
  <si>
    <t xml:space="preserve"> riz pour le mois de Jan</t>
  </si>
  <si>
    <t xml:space="preserve">Huile </t>
  </si>
  <si>
    <t>Viande et proteine</t>
  </si>
  <si>
    <t>Restaurant avec un Ami</t>
  </si>
  <si>
    <t>Pour aller au Restaurant avec un Ami</t>
  </si>
  <si>
    <t>Maintenance de mon Véhicule</t>
  </si>
  <si>
    <t>Loyer du mois de Février</t>
  </si>
  <si>
    <t>Fevrier elec</t>
  </si>
  <si>
    <t>Mois</t>
  </si>
  <si>
    <t>Average of montant</t>
  </si>
  <si>
    <t>Internet &amp; phone</t>
  </si>
  <si>
    <t>GAZ</t>
  </si>
  <si>
    <t>Internet Fevrier</t>
  </si>
  <si>
    <t>Loyer Fevrier</t>
  </si>
  <si>
    <t>Elec Mars</t>
  </si>
  <si>
    <t>Gas Mars</t>
  </si>
  <si>
    <t>Inwi</t>
  </si>
  <si>
    <t>Chaussures</t>
  </si>
  <si>
    <t>RIZ</t>
  </si>
  <si>
    <t>Sortie touristique a Rabat</t>
  </si>
  <si>
    <t>Diesel</t>
  </si>
  <si>
    <t>transport pour aller a Rabat</t>
  </si>
  <si>
    <t>Une maintenance mesuelle</t>
  </si>
  <si>
    <t>Loyer Avril</t>
  </si>
  <si>
    <t>Loyer a augmenté</t>
  </si>
  <si>
    <t>loyer 5</t>
  </si>
  <si>
    <t>ok loyer</t>
  </si>
  <si>
    <t>Changement de location</t>
  </si>
  <si>
    <t>Loyer Novembre</t>
  </si>
  <si>
    <t>Decembre rent</t>
  </si>
  <si>
    <t>TEST</t>
  </si>
  <si>
    <t>vetements</t>
  </si>
  <si>
    <t>Salaire Novembre</t>
  </si>
  <si>
    <t xml:space="preserve">Facture electricité </t>
  </si>
  <si>
    <t>Don venant d'une personne</t>
  </si>
  <si>
    <t>ID</t>
  </si>
  <si>
    <t>C:\Users\pc\AppData\Roaming\Microsoft\Excel\My_Personal_Finances_With_VBA (version 1).xlsb</t>
  </si>
  <si>
    <t>janv</t>
  </si>
  <si>
    <t>févr</t>
  </si>
  <si>
    <t>mars</t>
  </si>
  <si>
    <t>avr</t>
  </si>
  <si>
    <t>mai</t>
  </si>
  <si>
    <t>juin</t>
  </si>
  <si>
    <t>août</t>
  </si>
  <si>
    <t>sept</t>
  </si>
  <si>
    <t>oct</t>
  </si>
  <si>
    <t>nov</t>
  </si>
  <si>
    <t>déc</t>
  </si>
  <si>
    <t xml:space="preserve">Loyer du mois d'Aout </t>
  </si>
  <si>
    <t>METRIQUES</t>
  </si>
  <si>
    <t>VALEURS</t>
  </si>
  <si>
    <t>10% revenu</t>
  </si>
  <si>
    <t>20%revenu</t>
  </si>
  <si>
    <t>Reste Dble</t>
  </si>
  <si>
    <t>Vrai Reste</t>
  </si>
  <si>
    <t>Pertes</t>
  </si>
  <si>
    <t>Metrics</t>
  </si>
  <si>
    <t>Valeurs_MAD</t>
  </si>
  <si>
    <t>Valeur_CFA</t>
  </si>
  <si>
    <t>10% du revenu</t>
  </si>
  <si>
    <t>20% du revenu</t>
  </si>
  <si>
    <t>Depenses</t>
  </si>
  <si>
    <t>Reste depensable</t>
  </si>
  <si>
    <t>Perte</t>
  </si>
  <si>
    <t>date</t>
  </si>
  <si>
    <t>ID_revenue</t>
  </si>
  <si>
    <t>Objectid_epargne%</t>
  </si>
  <si>
    <t>a entrer manuellement</t>
  </si>
  <si>
    <t>Nun_Month</t>
  </si>
  <si>
    <t>MOIS</t>
  </si>
  <si>
    <t>JANVIER</t>
  </si>
  <si>
    <t>METRIQUE</t>
  </si>
  <si>
    <t>FEVRIER</t>
  </si>
  <si>
    <t>MARS</t>
  </si>
  <si>
    <t>AVRIL</t>
  </si>
  <si>
    <t>MAI</t>
  </si>
  <si>
    <t>JUIN</t>
  </si>
  <si>
    <t>JUILLET</t>
  </si>
  <si>
    <t>AOUT</t>
  </si>
  <si>
    <t>SEPTEMBRE</t>
  </si>
  <si>
    <t>OCTOBRE</t>
  </si>
  <si>
    <t>NOVEMBRE</t>
  </si>
  <si>
    <t>DECEMBRE</t>
  </si>
  <si>
    <t>RAPPORT MENSUEL</t>
  </si>
  <si>
    <t>10% du Revenu</t>
  </si>
  <si>
    <t>20% du Revenu</t>
  </si>
  <si>
    <t>reste</t>
  </si>
  <si>
    <t>Reste Depensable</t>
  </si>
  <si>
    <t>dime</t>
  </si>
  <si>
    <t>R Epargne</t>
  </si>
  <si>
    <t>R Dime</t>
  </si>
  <si>
    <t>Année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</si>
</sst>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_-* #,##0.00\ [$CFA-300C]_-;\-* #,##0.00\ [$CFA-300C]_-;_-* &quot;-&quot;??\ [$CFA-300C]_-;_-@_-"/>
    <numFmt numFmtId="165" formatCode="_-* #,##0.0\ [$MAD-45F]_-;\-* #,##0.0\ [$MAD-45F]_-;_-* &quot;-&quot;??\ [$MAD-45F]_-;_-@_-"/>
    <numFmt numFmtId="166" formatCode="_-* #,##0\ [$FCFA-2C0C]_-;\-* #,##0\ [$FCFA-2C0C]_-;_-* &quot;-&quot;??\ [$FCFA-2C0C]_-;_-@_-"/>
    <numFmt numFmtId="167" formatCode="_-* #,##0.0[$MAD]_-;\-* #,##0.0[$MAD]_-;_-* &quot;-&quot;??[$MAD]_-;_-@_-" x16r2:formatCode16="_-* #,##0.0[$MAD-zgh-Tfng-MA]_-;\-* #,##0.0[$MAD-zgh-Tfng-MA]_-;_-* &quot;-&quot;??[$MAD-zgh-Tfng-MA]_-;_-@_-"/>
    <numFmt numFmtId="170" formatCode="_-* #,##0.0[$MAD]_-;\-* #,##0.0[$MAD]_-;_-* &quot;-&quot;?[$MAD]_-;_-@_-" x16r2:formatCode16="_-* #,##0.0[$MAD-zgh-Tfng-MA]_-;\-* #,##0.0[$MAD-zgh-Tfng-MA]_-;_-* &quot;-&quot;?[$MAD-zgh-Tfng-MA]_-;_-@_-"/>
    <numFmt numFmtId="172" formatCode="[$-40C]d\-mmm;@"/>
  </numFmts>
  <fonts count="18" x14ac:knownFonts="1">
    <font>
      <sz val="11"/>
      <color theme="1"/>
      <name val="Aptos Narrow"/>
      <family val="2"/>
      <scheme val="minor"/>
    </font>
    <font>
      <sz val="14"/>
      <color theme="1"/>
      <name val="Aptos Narrow"/>
      <family val="2"/>
      <scheme val="minor"/>
    </font>
    <font>
      <sz val="16"/>
      <color theme="1"/>
      <name val="Aptos Narrow"/>
      <family val="2"/>
      <scheme val="minor"/>
    </font>
    <font>
      <sz val="14"/>
      <color theme="0"/>
      <name val="Aptos Narrow"/>
      <family val="2"/>
      <scheme val="minor"/>
    </font>
    <font>
      <b/>
      <sz val="16"/>
      <color theme="1"/>
      <name val="Aptos Narrow"/>
      <family val="2"/>
      <scheme val="minor"/>
    </font>
    <font>
      <b/>
      <sz val="14"/>
      <color theme="1"/>
      <name val="Aptos Narrow"/>
      <family val="2"/>
      <scheme val="minor"/>
    </font>
    <font>
      <sz val="8"/>
      <name val="Aptos Narrow"/>
      <family val="2"/>
      <scheme val="minor"/>
    </font>
    <font>
      <sz val="11"/>
      <color rgb="FFFF9900"/>
      <name val="Agency FB"/>
      <family val="2"/>
    </font>
    <font>
      <b/>
      <sz val="48"/>
      <color rgb="FFFF9900"/>
      <name val="Agency FB"/>
      <family val="2"/>
    </font>
    <font>
      <sz val="14"/>
      <color theme="1"/>
      <name val="Agency FB"/>
      <family val="2"/>
    </font>
    <font>
      <b/>
      <sz val="18"/>
      <color theme="1"/>
      <name val="Agency FB"/>
      <family val="2"/>
    </font>
    <font>
      <sz val="12"/>
      <color theme="1"/>
      <name val="Aptos Narrow"/>
      <family val="2"/>
      <scheme val="minor"/>
    </font>
    <font>
      <sz val="18"/>
      <color rgb="FF000000"/>
      <name val="Agency FB"/>
      <family val="2"/>
    </font>
    <font>
      <sz val="11"/>
      <color rgb="FF000000"/>
      <name val="Aptos Narrow"/>
      <family val="2"/>
    </font>
    <font>
      <b/>
      <sz val="11"/>
      <color rgb="FF000000"/>
      <name val="Aptos Narrow"/>
      <family val="2"/>
    </font>
    <font>
      <b/>
      <sz val="11"/>
      <color theme="1"/>
      <name val="Aptos Narrow"/>
      <family val="2"/>
      <scheme val="minor"/>
    </font>
    <font>
      <b/>
      <sz val="14"/>
      <color theme="0"/>
      <name val="Aptos Narrow"/>
      <family val="2"/>
      <scheme val="minor"/>
    </font>
    <font>
      <sz val="18"/>
      <color theme="1"/>
      <name val="Aptos Narrow"/>
      <family val="2"/>
      <scheme val="minor"/>
    </font>
  </fonts>
  <fills count="9">
    <fill>
      <patternFill patternType="none"/>
    </fill>
    <fill>
      <patternFill patternType="gray125"/>
    </fill>
    <fill>
      <patternFill patternType="solid">
        <fgColor rgb="FFFFFF0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1"/>
        <bgColor indexed="64"/>
      </patternFill>
    </fill>
    <fill>
      <patternFill patternType="solid">
        <fgColor theme="0" tint="-0.14999847407452621"/>
        <bgColor indexed="64"/>
      </patternFill>
    </fill>
    <fill>
      <patternFill patternType="solid">
        <fgColor theme="2" tint="-0.499984740745262"/>
        <bgColor indexed="64"/>
      </patternFill>
    </fill>
    <fill>
      <patternFill patternType="solid">
        <fgColor theme="4" tint="0.79998168889431442"/>
        <bgColor theme="4" tint="0.79998168889431442"/>
      </patternFill>
    </fill>
  </fills>
  <borders count="33">
    <border>
      <left/>
      <right/>
      <top/>
      <bottom/>
      <diagonal/>
    </border>
    <border>
      <left style="thin">
        <color indexed="64"/>
      </left>
      <right style="thin">
        <color theme="0"/>
      </right>
      <top/>
      <bottom style="thin">
        <color indexed="64"/>
      </bottom>
      <diagonal/>
    </border>
    <border>
      <left style="thin">
        <color theme="0"/>
      </left>
      <right style="thin">
        <color theme="0"/>
      </right>
      <top/>
      <bottom style="thin">
        <color indexed="64"/>
      </bottom>
      <diagonal/>
    </border>
    <border>
      <left style="thin">
        <color theme="0"/>
      </left>
      <right style="thin">
        <color indexed="64"/>
      </right>
      <top/>
      <bottom style="thin">
        <color indexed="64"/>
      </bottom>
      <diagonal/>
    </border>
    <border>
      <left/>
      <right/>
      <top style="thick">
        <color theme="1"/>
      </top>
      <bottom/>
      <diagonal/>
    </border>
    <border>
      <left style="thick">
        <color theme="1"/>
      </left>
      <right/>
      <top style="thick">
        <color theme="1"/>
      </top>
      <bottom style="thick">
        <color theme="1"/>
      </bottom>
      <diagonal/>
    </border>
    <border>
      <left/>
      <right/>
      <top style="thick">
        <color theme="1"/>
      </top>
      <bottom style="thick">
        <color theme="1"/>
      </bottom>
      <diagonal/>
    </border>
    <border>
      <left/>
      <right style="thick">
        <color theme="1"/>
      </right>
      <top style="thick">
        <color theme="1"/>
      </top>
      <bottom style="thick">
        <color theme="1"/>
      </bottom>
      <diagonal/>
    </border>
    <border>
      <left/>
      <right/>
      <top style="thin">
        <color indexed="64"/>
      </top>
      <bottom/>
      <diagonal/>
    </border>
    <border>
      <left style="thick">
        <color theme="1"/>
      </left>
      <right/>
      <top style="thick">
        <color theme="1"/>
      </top>
      <bottom/>
      <diagonal/>
    </border>
    <border>
      <left/>
      <right style="thick">
        <color theme="1"/>
      </right>
      <top style="thick">
        <color theme="1"/>
      </top>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
      <left/>
      <right/>
      <top style="thin">
        <color theme="4" tint="0.39997558519241921"/>
      </top>
      <bottom style="thin">
        <color theme="4" tint="0.39997558519241921"/>
      </bottom>
      <diagonal/>
    </border>
    <border>
      <left style="thin">
        <color theme="0" tint="-0.14999847407452621"/>
      </left>
      <right/>
      <top/>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right style="thin">
        <color theme="0" tint="-0.14999847407452621"/>
      </right>
      <top/>
      <bottom/>
      <diagonal/>
    </border>
  </borders>
  <cellStyleXfs count="1">
    <xf numFmtId="0" fontId="0" fillId="0" borderId="0"/>
  </cellStyleXfs>
  <cellXfs count="100">
    <xf numFmtId="0" fontId="0" fillId="0" borderId="0" xfId="0"/>
    <xf numFmtId="0" fontId="1" fillId="0" borderId="0" xfId="0" applyFont="1"/>
    <xf numFmtId="0" fontId="3" fillId="5" borderId="1" xfId="0" applyFont="1" applyFill="1" applyBorder="1"/>
    <xf numFmtId="0" fontId="3" fillId="5" borderId="2" xfId="0" applyFont="1" applyFill="1" applyBorder="1"/>
    <xf numFmtId="0" fontId="3" fillId="5" borderId="3" xfId="0" applyFont="1" applyFill="1" applyBorder="1"/>
    <xf numFmtId="0" fontId="4" fillId="0" borderId="6" xfId="0" applyFont="1" applyBorder="1"/>
    <xf numFmtId="0" fontId="4" fillId="0" borderId="7" xfId="0" applyFont="1" applyBorder="1"/>
    <xf numFmtId="0" fontId="4" fillId="0" borderId="5" xfId="0" applyFont="1" applyBorder="1"/>
    <xf numFmtId="0" fontId="2" fillId="0" borderId="0" xfId="0" applyFont="1"/>
    <xf numFmtId="0" fontId="1" fillId="2" borderId="6" xfId="0" applyFont="1" applyFill="1" applyBorder="1" applyAlignment="1">
      <alignment vertical="center"/>
    </xf>
    <xf numFmtId="0" fontId="1" fillId="2" borderId="5" xfId="0" applyFont="1" applyFill="1" applyBorder="1" applyAlignment="1">
      <alignment vertical="center"/>
    </xf>
    <xf numFmtId="0" fontId="1" fillId="2" borderId="7" xfId="0" applyFont="1" applyFill="1" applyBorder="1" applyAlignment="1">
      <alignment vertical="center"/>
    </xf>
    <xf numFmtId="16" fontId="0" fillId="0" borderId="0" xfId="0" applyNumberFormat="1"/>
    <xf numFmtId="0" fontId="0" fillId="0" borderId="0" xfId="0" pivotButton="1"/>
    <xf numFmtId="0" fontId="0" fillId="0" borderId="0" xfId="0" applyAlignment="1">
      <alignment horizontal="left"/>
    </xf>
    <xf numFmtId="0" fontId="5" fillId="0" borderId="0" xfId="0" applyFont="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1" fontId="0" fillId="0" borderId="0" xfId="0" applyNumberFormat="1" applyAlignment="1">
      <alignment horizontal="left"/>
    </xf>
    <xf numFmtId="0" fontId="0" fillId="0" borderId="0" xfId="0" applyAlignment="1">
      <alignment horizontal="left" indent="1"/>
    </xf>
    <xf numFmtId="16" fontId="11" fillId="0" borderId="0" xfId="0" applyNumberFormat="1" applyFont="1" applyAlignment="1">
      <alignment horizontal="center"/>
    </xf>
    <xf numFmtId="0" fontId="11" fillId="5" borderId="0" xfId="0" applyFont="1" applyFill="1" applyAlignment="1">
      <alignment horizontal="center"/>
    </xf>
    <xf numFmtId="0" fontId="11" fillId="5" borderId="0" xfId="0" applyFont="1" applyFill="1" applyAlignment="1">
      <alignment horizontal="center" vertical="center"/>
    </xf>
    <xf numFmtId="0" fontId="11" fillId="5" borderId="0" xfId="0" applyFont="1" applyFill="1" applyAlignment="1">
      <alignment horizontal="left"/>
    </xf>
    <xf numFmtId="1" fontId="11" fillId="0" borderId="0" xfId="0" applyNumberFormat="1" applyFont="1" applyAlignment="1">
      <alignment horizontal="center"/>
    </xf>
    <xf numFmtId="0" fontId="11" fillId="0" borderId="0" xfId="0" applyFont="1" applyAlignment="1">
      <alignment horizontal="center"/>
    </xf>
    <xf numFmtId="0" fontId="11" fillId="0" borderId="0" xfId="0" applyFont="1"/>
    <xf numFmtId="164" fontId="11" fillId="0" borderId="0" xfId="0" applyNumberFormat="1" applyFont="1"/>
    <xf numFmtId="167" fontId="11" fillId="0" borderId="0" xfId="0" applyNumberFormat="1" applyFont="1"/>
    <xf numFmtId="166" fontId="11" fillId="0" borderId="0" xfId="0" applyNumberFormat="1" applyFont="1"/>
    <xf numFmtId="165" fontId="11" fillId="0" borderId="0" xfId="0" applyNumberFormat="1" applyFont="1"/>
    <xf numFmtId="0" fontId="11" fillId="5" borderId="0" xfId="0" applyFont="1" applyFill="1"/>
    <xf numFmtId="16" fontId="0" fillId="0" borderId="0" xfId="0" applyNumberFormat="1" applyAlignment="1">
      <alignment horizontal="left" vertical="center"/>
    </xf>
    <xf numFmtId="1" fontId="0" fillId="0" borderId="0" xfId="0" applyNumberFormat="1" applyAlignment="1">
      <alignment horizontal="left" vertical="center"/>
    </xf>
    <xf numFmtId="16" fontId="0" fillId="0" borderId="0" xfId="0" applyNumberFormat="1" applyAlignment="1">
      <alignment horizontal="left"/>
    </xf>
    <xf numFmtId="0" fontId="5" fillId="6" borderId="8" xfId="0" applyFont="1" applyFill="1" applyBorder="1" applyAlignment="1">
      <alignment horizontal="left"/>
    </xf>
    <xf numFmtId="0" fontId="2" fillId="4" borderId="0" xfId="0" applyFont="1" applyFill="1" applyAlignment="1">
      <alignment horizontal="center" vertical="center"/>
    </xf>
    <xf numFmtId="0" fontId="4" fillId="3" borderId="9" xfId="0" applyFont="1" applyFill="1" applyBorder="1" applyAlignment="1">
      <alignment horizontal="center"/>
    </xf>
    <xf numFmtId="0" fontId="4" fillId="3" borderId="4" xfId="0" applyFont="1" applyFill="1" applyBorder="1" applyAlignment="1">
      <alignment horizontal="center"/>
    </xf>
    <xf numFmtId="0" fontId="4" fillId="3" borderId="10" xfId="0" applyFont="1" applyFill="1" applyBorder="1" applyAlignment="1">
      <alignment horizontal="center"/>
    </xf>
    <xf numFmtId="0" fontId="0" fillId="0" borderId="12"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0" fillId="0" borderId="18" xfId="0" applyBorder="1" applyAlignment="1">
      <alignment horizontal="center"/>
    </xf>
    <xf numFmtId="0" fontId="9" fillId="0" borderId="13" xfId="0" applyFont="1" applyBorder="1" applyAlignment="1">
      <alignment horizontal="center" vertical="center"/>
    </xf>
    <xf numFmtId="0" fontId="8" fillId="7" borderId="0" xfId="0" applyFont="1" applyFill="1" applyAlignment="1">
      <alignment horizontal="center" vertical="center"/>
    </xf>
    <xf numFmtId="0" fontId="7" fillId="7" borderId="0" xfId="0" applyFont="1" applyFill="1" applyAlignment="1">
      <alignment horizontal="center" vertical="center"/>
    </xf>
    <xf numFmtId="0" fontId="10" fillId="0" borderId="12" xfId="0" applyFont="1" applyBorder="1" applyAlignment="1">
      <alignment horizontal="center" vertical="center"/>
    </xf>
    <xf numFmtId="0" fontId="10" fillId="0" borderId="13" xfId="0" applyFont="1" applyBorder="1" applyAlignment="1">
      <alignment horizontal="center" vertical="center"/>
    </xf>
    <xf numFmtId="0" fontId="10" fillId="0" borderId="14" xfId="0" applyFont="1" applyBorder="1" applyAlignment="1">
      <alignment horizontal="center" vertical="center"/>
    </xf>
    <xf numFmtId="0" fontId="10" fillId="0" borderId="15" xfId="0" applyFont="1" applyBorder="1" applyAlignment="1">
      <alignment horizontal="center" vertical="center"/>
    </xf>
    <xf numFmtId="0" fontId="10" fillId="0" borderId="0" xfId="0" applyFont="1" applyAlignment="1">
      <alignment horizontal="center" vertical="center"/>
    </xf>
    <xf numFmtId="0" fontId="10" fillId="0" borderId="11" xfId="0" applyFont="1" applyBorder="1" applyAlignment="1">
      <alignment horizontal="center" vertical="center"/>
    </xf>
    <xf numFmtId="0" fontId="10" fillId="0" borderId="16" xfId="0" applyFont="1" applyBorder="1" applyAlignment="1">
      <alignment horizontal="center" vertical="center"/>
    </xf>
    <xf numFmtId="0" fontId="10" fillId="0" borderId="17" xfId="0" applyFont="1" applyBorder="1" applyAlignment="1">
      <alignment horizontal="center" vertical="center"/>
    </xf>
    <xf numFmtId="0" fontId="10" fillId="0" borderId="18" xfId="0" applyFont="1" applyBorder="1" applyAlignment="1">
      <alignment horizontal="center" vertical="center"/>
    </xf>
    <xf numFmtId="0" fontId="0" fillId="0" borderId="0" xfId="0" applyNumberFormat="1"/>
    <xf numFmtId="16" fontId="0" fillId="0" borderId="0" xfId="0" applyNumberFormat="1" applyFont="1" applyAlignment="1">
      <alignment horizontal="left" vertical="center"/>
    </xf>
    <xf numFmtId="1" fontId="0" fillId="0" borderId="0" xfId="0" applyNumberFormat="1" applyFont="1" applyAlignment="1">
      <alignment horizontal="left" vertical="center"/>
    </xf>
    <xf numFmtId="16" fontId="0" fillId="0" borderId="0" xfId="0" applyNumberFormat="1" applyFont="1" applyAlignment="1">
      <alignment horizontal="left"/>
    </xf>
    <xf numFmtId="0" fontId="0" fillId="0" borderId="0" xfId="0" applyFont="1" applyAlignment="1">
      <alignment horizontal="left"/>
    </xf>
    <xf numFmtId="0" fontId="0" fillId="0" borderId="0" xfId="0" applyFont="1"/>
    <xf numFmtId="0" fontId="0" fillId="0" borderId="0" xfId="0" applyNumberFormat="1" applyFont="1"/>
    <xf numFmtId="0" fontId="0" fillId="0" borderId="0" xfId="0" applyBorder="1"/>
    <xf numFmtId="0" fontId="4" fillId="3" borderId="0" xfId="0" applyFont="1" applyFill="1" applyBorder="1" applyAlignment="1">
      <alignment horizontal="center"/>
    </xf>
    <xf numFmtId="0" fontId="1" fillId="6" borderId="0" xfId="0" applyFont="1" applyFill="1" applyAlignment="1">
      <alignment vertical="top"/>
    </xf>
    <xf numFmtId="0" fontId="5" fillId="6" borderId="0" xfId="0" applyFont="1" applyFill="1" applyAlignment="1">
      <alignment horizontal="center" vertical="center"/>
    </xf>
    <xf numFmtId="167" fontId="0" fillId="0" borderId="0" xfId="0" applyNumberFormat="1"/>
    <xf numFmtId="170" fontId="0" fillId="0" borderId="0" xfId="0" applyNumberFormat="1"/>
    <xf numFmtId="165" fontId="0" fillId="0" borderId="0" xfId="0" applyNumberFormat="1"/>
    <xf numFmtId="172" fontId="0" fillId="0" borderId="0" xfId="0" applyNumberFormat="1"/>
    <xf numFmtId="0" fontId="0" fillId="8" borderId="28" xfId="0" applyFont="1" applyFill="1" applyBorder="1"/>
    <xf numFmtId="0" fontId="0" fillId="0" borderId="28" xfId="0" applyFont="1" applyBorder="1"/>
    <xf numFmtId="172" fontId="0" fillId="8" borderId="28" xfId="0" applyNumberFormat="1" applyFont="1" applyFill="1" applyBorder="1"/>
    <xf numFmtId="172" fontId="0" fillId="0" borderId="28" xfId="0" applyNumberFormat="1" applyFont="1" applyBorder="1"/>
    <xf numFmtId="0" fontId="0" fillId="0" borderId="0" xfId="0" applyFont="1" applyBorder="1"/>
    <xf numFmtId="0" fontId="1" fillId="0" borderId="0" xfId="0" applyFont="1" applyFill="1" applyBorder="1" applyAlignment="1"/>
    <xf numFmtId="0" fontId="1" fillId="0" borderId="0" xfId="0" applyFont="1" applyBorder="1" applyAlignment="1"/>
    <xf numFmtId="0" fontId="0" fillId="0" borderId="0" xfId="0" applyBorder="1" applyAlignment="1"/>
    <xf numFmtId="0" fontId="5" fillId="0" borderId="0" xfId="0" applyFont="1" applyFill="1" applyBorder="1" applyAlignment="1"/>
    <xf numFmtId="0" fontId="5" fillId="0" borderId="0" xfId="0" applyFont="1" applyBorder="1" applyAlignment="1"/>
    <xf numFmtId="2" fontId="0" fillId="0" borderId="0" xfId="0" applyNumberFormat="1"/>
    <xf numFmtId="1" fontId="0" fillId="0" borderId="0" xfId="0" applyNumberFormat="1"/>
    <xf numFmtId="0" fontId="17" fillId="4" borderId="0" xfId="0" applyFont="1" applyFill="1" applyAlignment="1">
      <alignment horizontal="center" vertical="center"/>
    </xf>
    <xf numFmtId="0" fontId="16" fillId="5" borderId="0" xfId="0" applyFont="1" applyFill="1"/>
    <xf numFmtId="0" fontId="15" fillId="0" borderId="0" xfId="0" applyFont="1" applyAlignment="1">
      <alignment horizontal="center"/>
    </xf>
    <xf numFmtId="0" fontId="0" fillId="0" borderId="29" xfId="0" applyBorder="1"/>
    <xf numFmtId="0" fontId="15" fillId="0" borderId="0" xfId="0" applyFont="1" applyBorder="1" applyAlignment="1">
      <alignment horizontal="center"/>
    </xf>
    <xf numFmtId="0" fontId="5" fillId="0" borderId="30" xfId="0" applyFont="1" applyFill="1" applyBorder="1" applyAlignment="1"/>
    <xf numFmtId="0" fontId="0" fillId="0" borderId="30" xfId="0" applyBorder="1"/>
    <xf numFmtId="0" fontId="0" fillId="0" borderId="32" xfId="0" applyBorder="1"/>
    <xf numFmtId="0" fontId="0" fillId="0" borderId="31" xfId="0" applyBorder="1"/>
    <xf numFmtId="0" fontId="15" fillId="0" borderId="0" xfId="0" applyFont="1"/>
  </cellXfs>
  <cellStyles count="1">
    <cellStyle name="Normal" xfId="0" builtinId="0"/>
  </cellStyles>
  <dxfs count="179">
    <dxf>
      <font>
        <color rgb="FF9C0006"/>
      </font>
      <fill>
        <patternFill>
          <bgColor rgb="FFFFC7CE"/>
        </patternFill>
      </fill>
    </dxf>
    <dxf>
      <font>
        <color rgb="FF9C0006"/>
      </font>
      <fill>
        <patternFill>
          <bgColor rgb="FFFFC7CE"/>
        </patternFill>
      </fill>
    </dxf>
    <dxf>
      <font>
        <color theme="0"/>
      </font>
    </dxf>
    <dxf>
      <font>
        <color theme="0"/>
      </font>
    </dxf>
    <dxf>
      <font>
        <color theme="0"/>
      </font>
    </dxf>
    <dxf>
      <font>
        <color theme="0"/>
      </font>
    </dxf>
    <dxf>
      <font>
        <color rgb="FF9C0006"/>
      </font>
      <fill>
        <patternFill>
          <bgColor rgb="FFFFC7CE"/>
        </patternFill>
      </fill>
    </dxf>
    <dxf>
      <font>
        <color rgb="FF006100"/>
      </font>
      <fill>
        <patternFill>
          <bgColor rgb="FFC6EFCE"/>
        </patternFill>
      </fill>
    </dxf>
    <dxf>
      <numFmt numFmtId="1" formatCode="0"/>
    </dxf>
    <dxf>
      <numFmt numFmtId="1" formatCode="0"/>
    </dxf>
    <dxf>
      <numFmt numFmtId="21" formatCode="dd\-mmm"/>
    </dxf>
    <dxf>
      <font>
        <b val="0"/>
        <i val="0"/>
        <strike val="0"/>
        <condense val="0"/>
        <extend val="0"/>
        <outline val="0"/>
        <shadow val="0"/>
        <u val="none"/>
        <vertAlign val="baseline"/>
        <sz val="11"/>
        <color theme="1"/>
        <name val="Aptos Narrow"/>
        <family val="2"/>
        <scheme val="minor"/>
      </font>
      <border diagonalUp="0" diagonalDown="0" outline="0">
        <left/>
        <right/>
        <top/>
        <bottom/>
      </border>
    </dxf>
    <dxf>
      <font>
        <b val="0"/>
        <i val="0"/>
        <strike val="0"/>
        <condense val="0"/>
        <extend val="0"/>
        <outline val="0"/>
        <shadow val="0"/>
        <u val="none"/>
        <vertAlign val="baseline"/>
        <sz val="11"/>
        <color theme="1"/>
        <name val="Aptos Narrow"/>
        <family val="2"/>
        <scheme val="minor"/>
      </font>
      <numFmt numFmtId="172" formatCode="[$-40C]d\-mmm;@"/>
      <border diagonalUp="0" diagonalDown="0">
        <left/>
        <right/>
        <top style="thin">
          <color theme="4" tint="0.39997558519241921"/>
        </top>
        <bottom style="thin">
          <color theme="4" tint="0.39997558519241921"/>
        </bottom>
        <vertical/>
        <horizontal/>
      </border>
    </dxf>
    <dxf>
      <numFmt numFmtId="172" formatCode="[$-40C]d\-mmm;@"/>
    </dxf>
    <dxf>
      <numFmt numFmtId="167" formatCode="_-* #,##0.0[$MAD]_-;\-* #,##0.0[$MAD]_-;_-* &quot;-&quot;??[$MAD]_-;_-@_-" x16r2:formatCode16="_-* #,##0.0[$MAD-zgh-Tfng-MA]_-;\-* #,##0.0[$MAD-zgh-Tfng-MA]_-;_-* &quot;-&quot;??[$MAD-zgh-Tfng-MA]_-;_-@_-"/>
    </dxf>
    <dxf>
      <numFmt numFmtId="21" formatCode="dd\-mmm"/>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2"/>
        <color theme="1"/>
        <name val="Aptos Narrow"/>
        <family val="2"/>
        <scheme val="minor"/>
      </font>
      <numFmt numFmtId="166" formatCode="_-* #,##0\ [$FCFA-2C0C]_-;\-* #,##0\ [$FCFA-2C0C]_-;_-* &quot;-&quot;??\ [$FCFA-2C0C]_-;_-@_-"/>
    </dxf>
    <dxf>
      <font>
        <b val="0"/>
        <i val="0"/>
        <strike val="0"/>
        <condense val="0"/>
        <extend val="0"/>
        <outline val="0"/>
        <shadow val="0"/>
        <u val="none"/>
        <vertAlign val="baseline"/>
        <sz val="12"/>
        <color theme="1"/>
        <name val="Aptos Narrow"/>
        <family val="2"/>
        <scheme val="minor"/>
      </font>
      <numFmt numFmtId="165" formatCode="_-* #,##0.0\ [$MAD-45F]_-;\-* #,##0.0\ [$MAD-45F]_-;_-* &quot;-&quot;??\ [$MAD-45F]_-;_-@_-"/>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2"/>
        <color theme="1"/>
        <name val="Aptos Narrow"/>
        <family val="2"/>
        <scheme val="minor"/>
      </font>
    </dxf>
    <dxf>
      <font>
        <strike val="0"/>
        <outline val="0"/>
        <shadow val="0"/>
        <u val="none"/>
        <vertAlign val="baseline"/>
        <sz val="11"/>
        <color theme="1"/>
        <name val="Aptos Narrow"/>
        <family val="2"/>
        <scheme val="minor"/>
      </font>
    </dxf>
    <dxf>
      <font>
        <strike val="0"/>
        <outline val="0"/>
        <shadow val="0"/>
        <u val="none"/>
        <vertAlign val="baseline"/>
        <sz val="11"/>
        <color theme="1"/>
        <name val="Aptos Narrow"/>
        <family val="2"/>
        <scheme val="minor"/>
      </font>
      <numFmt numFmtId="0" formatCode="General"/>
    </dxf>
    <dxf>
      <font>
        <strike val="0"/>
        <outline val="0"/>
        <shadow val="0"/>
        <u val="none"/>
        <vertAlign val="baseline"/>
        <sz val="11"/>
        <color theme="1"/>
        <name val="Aptos Narrow"/>
        <family val="2"/>
        <scheme val="minor"/>
      </font>
    </dxf>
    <dxf>
      <font>
        <strike val="0"/>
        <outline val="0"/>
        <shadow val="0"/>
        <u val="none"/>
        <vertAlign val="baseline"/>
        <sz val="11"/>
        <color theme="1"/>
        <name val="Aptos Narrow"/>
        <family val="2"/>
        <scheme val="minor"/>
      </font>
    </dxf>
    <dxf>
      <font>
        <strike val="0"/>
        <outline val="0"/>
        <shadow val="0"/>
        <u val="none"/>
        <vertAlign val="baseline"/>
        <sz val="11"/>
        <color theme="1"/>
        <name val="Aptos Narrow"/>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1" formatCode="dd\-mmm"/>
      <alignment horizontal="left"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alignment horizontal="left" vertical="center" textRotation="0" wrapText="0" indent="0" justifyLastLine="0" shrinkToFit="0" readingOrder="0"/>
    </dxf>
    <dxf>
      <font>
        <strike val="0"/>
        <outline val="0"/>
        <shadow val="0"/>
        <u val="none"/>
        <vertAlign val="baseline"/>
        <sz val="11"/>
        <color theme="1"/>
        <name val="Aptos Narrow"/>
        <family val="2"/>
        <scheme val="minor"/>
      </font>
      <numFmt numFmtId="21" formatCode="dd\-mmm"/>
      <alignment horizontal="left" vertical="center" textRotation="0" wrapText="0" indent="0" justifyLastLine="0" shrinkToFit="0" readingOrder="0"/>
    </dxf>
    <dxf>
      <font>
        <strike val="0"/>
        <outline val="0"/>
        <shadow val="0"/>
        <u val="none"/>
        <vertAlign val="baseline"/>
        <sz val="12"/>
        <color theme="1"/>
        <name val="Aptos Narrow"/>
        <family val="2"/>
        <scheme val="minor"/>
      </font>
    </dxf>
    <dxf>
      <font>
        <strike val="0"/>
        <outline val="0"/>
        <shadow val="0"/>
        <u val="none"/>
        <vertAlign val="baseline"/>
        <sz val="11"/>
        <color theme="1"/>
        <name val="Aptos Narrow"/>
        <family val="2"/>
        <scheme val="minor"/>
      </font>
    </dxf>
    <dxf>
      <font>
        <strike val="0"/>
        <outline val="0"/>
        <shadow val="0"/>
        <u val="none"/>
        <vertAlign val="baseline"/>
        <sz val="12"/>
        <color theme="1"/>
        <name val="Aptos Narrow"/>
        <family val="2"/>
        <scheme val="minor"/>
      </font>
    </dxf>
    <dxf>
      <font>
        <b val="0"/>
        <i val="0"/>
        <strike val="0"/>
        <condense val="0"/>
        <extend val="0"/>
        <outline val="0"/>
        <shadow val="0"/>
        <u val="none"/>
        <vertAlign val="baseline"/>
        <sz val="12"/>
        <color theme="1"/>
        <name val="Aptos Narrow"/>
        <family val="2"/>
        <scheme val="minor"/>
      </font>
    </dxf>
    <dxf>
      <font>
        <strike val="0"/>
        <outline val="0"/>
        <shadow val="0"/>
        <u val="none"/>
        <vertAlign val="baseline"/>
        <sz val="12"/>
        <color theme="1"/>
        <name val="Aptos Narrow"/>
        <family val="2"/>
        <scheme val="minor"/>
      </font>
    </dxf>
    <dxf>
      <font>
        <b val="0"/>
        <i val="0"/>
        <strike val="0"/>
        <condense val="0"/>
        <extend val="0"/>
        <outline val="0"/>
        <shadow val="0"/>
        <u val="none"/>
        <vertAlign val="baseline"/>
        <sz val="12"/>
        <color theme="1"/>
        <name val="Aptos Narrow"/>
        <family val="2"/>
        <scheme val="minor"/>
      </font>
    </dxf>
    <dxf>
      <font>
        <strike val="0"/>
        <outline val="0"/>
        <shadow val="0"/>
        <u val="none"/>
        <vertAlign val="baseline"/>
        <sz val="12"/>
        <color theme="1"/>
        <name val="Aptos Narrow"/>
        <family val="2"/>
        <scheme val="minor"/>
      </font>
      <numFmt numFmtId="0" formatCode="General"/>
    </dxf>
    <dxf>
      <font>
        <b val="0"/>
        <i val="0"/>
        <strike val="0"/>
        <condense val="0"/>
        <extend val="0"/>
        <outline val="0"/>
        <shadow val="0"/>
        <u val="none"/>
        <vertAlign val="baseline"/>
        <sz val="12"/>
        <color theme="1"/>
        <name val="Aptos Narrow"/>
        <family val="2"/>
        <scheme val="minor"/>
      </font>
      <numFmt numFmtId="166" formatCode="_-* #,##0\ [$FCFA-2C0C]_-;\-* #,##0\ [$FCFA-2C0C]_-;_-* &quot;-&quot;??\ [$FCFA-2C0C]_-;_-@_-"/>
    </dxf>
    <dxf>
      <font>
        <strike val="0"/>
        <outline val="0"/>
        <shadow val="0"/>
        <u val="none"/>
        <vertAlign val="baseline"/>
        <sz val="12"/>
        <color theme="1"/>
        <name val="Aptos Narrow"/>
        <family val="2"/>
        <scheme val="minor"/>
      </font>
      <numFmt numFmtId="0" formatCode="General"/>
    </dxf>
    <dxf>
      <font>
        <b val="0"/>
        <i val="0"/>
        <strike val="0"/>
        <condense val="0"/>
        <extend val="0"/>
        <outline val="0"/>
        <shadow val="0"/>
        <u val="none"/>
        <vertAlign val="baseline"/>
        <sz val="12"/>
        <color theme="1"/>
        <name val="Aptos Narrow"/>
        <family val="2"/>
        <scheme val="minor"/>
      </font>
      <numFmt numFmtId="167" formatCode="_-* #,##0.0[$MAD]_-;\-* #,##0.0[$MAD]_-;_-* &quot;-&quot;??[$MAD]_-;_-@_-" x16r2:formatCode16="_-* #,##0.0[$MAD-zgh-Tfng-MA]_-;\-* #,##0.0[$MAD-zgh-Tfng-MA]_-;_-* &quot;-&quot;??[$MAD-zgh-Tfng-MA]_-;_-@_-"/>
    </dxf>
    <dxf>
      <font>
        <strike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4" formatCode="_-* #,##0.00\ [$CFA-300C]_-;\-* #,##0.00\ [$CFA-300C]_-;_-* &quot;-&quot;??\ [$CFA-300C]_-;_-@_-"/>
    </dxf>
    <dxf>
      <font>
        <strike val="0"/>
        <outline val="0"/>
        <shadow val="0"/>
        <u val="none"/>
        <vertAlign val="baseline"/>
        <sz val="12"/>
        <color theme="1"/>
        <name val="Aptos Narrow"/>
        <family val="2"/>
        <scheme val="minor"/>
      </font>
    </dxf>
    <dxf>
      <font>
        <b val="0"/>
        <i val="0"/>
        <strike val="0"/>
        <condense val="0"/>
        <extend val="0"/>
        <outline val="0"/>
        <shadow val="0"/>
        <u val="none"/>
        <vertAlign val="baseline"/>
        <sz val="12"/>
        <color theme="1"/>
        <name val="Aptos Narrow"/>
        <family val="2"/>
        <scheme val="minor"/>
      </font>
    </dxf>
    <dxf>
      <font>
        <strike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2"/>
        <color theme="1"/>
        <name val="Aptos Narrow"/>
        <family val="2"/>
        <scheme val="minor"/>
      </font>
      <numFmt numFmtId="1"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dxf>
    <dxf>
      <font>
        <strike val="0"/>
        <outline val="0"/>
        <shadow val="0"/>
        <u val="none"/>
        <vertAlign val="baseline"/>
        <sz val="12"/>
        <color theme="1"/>
        <name val="Aptos Narrow"/>
        <family val="2"/>
        <scheme val="minor"/>
      </font>
      <numFmt numFmtId="21" formatCode="dd\-mmm"/>
      <alignment horizontal="center" vertical="bottom" textRotation="0" wrapText="0" indent="0" justifyLastLine="0" shrinkToFit="0" readingOrder="0"/>
    </dxf>
    <dxf>
      <font>
        <strike val="0"/>
        <outline val="0"/>
        <shadow val="0"/>
        <u val="none"/>
        <vertAlign val="baseline"/>
        <sz val="12"/>
        <color theme="1"/>
        <name val="Aptos Narrow"/>
        <family val="2"/>
        <scheme val="minor"/>
      </font>
    </dxf>
    <dxf>
      <font>
        <strike val="0"/>
        <outline val="0"/>
        <shadow val="0"/>
        <u val="none"/>
        <vertAlign val="baseline"/>
        <sz val="12"/>
        <color theme="1"/>
        <name val="Aptos Narrow"/>
        <family val="2"/>
        <scheme val="minor"/>
      </font>
    </dxf>
    <dxf>
      <font>
        <strike val="0"/>
        <outline val="0"/>
        <shadow val="0"/>
        <u val="none"/>
        <vertAlign val="baseline"/>
        <sz val="12"/>
        <color theme="1"/>
        <name val="Aptos Narrow"/>
        <family val="2"/>
        <scheme val="minor"/>
      </font>
      <fill>
        <patternFill patternType="solid">
          <fgColor indexed="64"/>
          <bgColor theme="1"/>
        </patternFill>
      </fill>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4"/>
        <color theme="1"/>
        <name val="Aptos Narrow"/>
        <family val="2"/>
        <scheme val="minor"/>
      </font>
    </dxf>
    <dxf>
      <font>
        <strike val="0"/>
        <outline val="0"/>
        <shadow val="0"/>
        <u val="none"/>
        <vertAlign val="baseline"/>
        <sz val="16"/>
        <color theme="1"/>
        <name val="Aptos Narrow"/>
        <family val="2"/>
        <scheme val="minor"/>
      </font>
    </dxf>
    <dxf>
      <border outline="0">
        <top style="thick">
          <color theme="1"/>
        </top>
      </border>
    </dxf>
    <dxf>
      <font>
        <b val="0"/>
        <i val="0"/>
        <strike val="0"/>
        <condense val="0"/>
        <extend val="0"/>
        <outline val="0"/>
        <shadow val="0"/>
        <u val="none"/>
        <vertAlign val="baseline"/>
        <sz val="14"/>
        <color theme="1"/>
        <name val="Aptos Narrow"/>
        <family val="2"/>
        <scheme val="minor"/>
      </font>
    </dxf>
    <dxf>
      <border outline="0">
        <bottom style="thin">
          <color indexed="64"/>
        </bottom>
      </border>
    </dxf>
    <dxf>
      <font>
        <b val="0"/>
        <i val="0"/>
        <strike val="0"/>
        <condense val="0"/>
        <extend val="0"/>
        <outline val="0"/>
        <shadow val="0"/>
        <u val="none"/>
        <vertAlign val="baseline"/>
        <sz val="14"/>
        <color theme="0"/>
        <name val="Aptos Narrow"/>
        <family val="2"/>
        <scheme val="minor"/>
      </font>
      <fill>
        <patternFill patternType="solid">
          <fgColor indexed="64"/>
          <bgColor theme="1"/>
        </patternFill>
      </fill>
      <border diagonalUp="0" diagonalDown="0" outline="0">
        <left style="thin">
          <color theme="0"/>
        </left>
        <right style="thin">
          <color theme="0"/>
        </right>
        <top/>
        <bottom/>
      </border>
    </dxf>
    <dxf>
      <font>
        <b/>
        <i val="0"/>
        <name val="Agency FB"/>
        <family val="2"/>
        <scheme val="none"/>
      </font>
    </dxf>
    <dxf>
      <font>
        <color theme="1"/>
      </font>
      <border>
        <left/>
        <right/>
        <top/>
        <bottom/>
      </border>
    </dxf>
  </dxfs>
  <tableStyles count="3" defaultTableStyle="TableStyleMedium2" defaultPivotStyle="PivotStyleLight16">
    <tableStyle name="Invisible" pivot="0" table="0" count="0" xr9:uid="{69420454-DB76-42D4-B081-CC9C430D775A}"/>
    <tableStyle name="Slicer Style 1" pivot="0" table="0" count="4" xr9:uid="{8B0DC11F-F520-48E7-A833-01B0DE04DAC3}"/>
    <tableStyle name="Slicer Style 2" pivot="0" table="0" count="6" xr9:uid="{2EEA953E-DB5E-419D-A269-F65AD6450871}">
      <tableStyleElement type="wholeTable" dxfId="178"/>
      <tableStyleElement type="headerRow" dxfId="177"/>
    </tableStyle>
  </tableStyles>
  <colors>
    <mruColors>
      <color rgb="FFFF9900"/>
    </mruColors>
  </colors>
  <extLst>
    <ext xmlns:x14="http://schemas.microsoft.com/office/spreadsheetml/2009/9/main" uri="{46F421CA-312F-682f-3DD2-61675219B42D}">
      <x14:dxfs count="8">
        <dxf>
          <font>
            <color rgb="FFFF9900"/>
          </font>
          <fill>
            <patternFill>
              <bgColor theme="1"/>
            </patternFill>
          </fill>
        </dxf>
        <dxf>
          <font>
            <color rgb="FFFF9900"/>
          </font>
          <fill>
            <patternFill>
              <bgColor theme="1"/>
            </patternFill>
          </fill>
        </dxf>
        <dxf>
          <font>
            <color rgb="FFFF9900"/>
          </font>
          <fill>
            <patternFill>
              <bgColor theme="1" tint="0.34998626667073579"/>
            </patternFill>
          </fill>
        </dxf>
        <dxf>
          <font>
            <b/>
            <i val="0"/>
            <color rgb="FFFF9900"/>
          </font>
          <fill>
            <patternFill>
              <bgColor theme="1" tint="0.34998626667073579"/>
            </patternFill>
          </fill>
        </dxf>
        <dxf>
          <font>
            <color theme="0" tint="-0.14996795556505021"/>
          </font>
        </dxf>
        <dxf>
          <font>
            <color theme="1"/>
          </font>
        </dxf>
        <dxf>
          <font>
            <color theme="0" tint="-4.9989318521683403E-2"/>
          </font>
        </dxf>
        <dxf>
          <font>
            <color theme="0" tint="-4.9989318521683403E-2"/>
          </font>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unselectedItemWithNoData" dxfId="6"/>
            <x14:slicerStyleElement type="selectedItemWithData" dxfId="5"/>
            <x14:slicerStyleElement type="selectedItemWithNoData" dxfId="4"/>
          </x14:slicerStyleElements>
        </x14:slicerStyle>
        <x14:slicerStyle name="Slicer Style 2">
          <x14:slicerStyleElements>
            <x14:slicerStyleElement type="unselectedItemWithData" dxfId="3"/>
            <x14:slicerStyleElement type="unselectedItemWithNoData" dxfId="2"/>
            <x14:slicerStyleElement type="selectedItemWithData" dxfId="1"/>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6.xml"/><Relationship Id="rId21" Type="http://schemas.openxmlformats.org/officeDocument/2006/relationships/pivotCacheDefinition" Target="pivotCache/pivotCacheDefinition11.xml"/><Relationship Id="rId42" Type="http://schemas.openxmlformats.org/officeDocument/2006/relationships/customXml" Target="../customXml/item5.xml"/><Relationship Id="rId47" Type="http://schemas.openxmlformats.org/officeDocument/2006/relationships/customXml" Target="../customXml/item10.xml"/><Relationship Id="rId63" Type="http://schemas.openxmlformats.org/officeDocument/2006/relationships/customXml" Target="../customXml/item26.xml"/><Relationship Id="rId68" Type="http://schemas.openxmlformats.org/officeDocument/2006/relationships/customXml" Target="../customXml/item31.xml"/><Relationship Id="rId2" Type="http://schemas.openxmlformats.org/officeDocument/2006/relationships/worksheet" Target="worksheets/sheet2.xml"/><Relationship Id="rId16" Type="http://schemas.openxmlformats.org/officeDocument/2006/relationships/pivotCacheDefinition" Target="pivotCache/pivotCacheDefinition6.xml"/><Relationship Id="rId29" Type="http://schemas.microsoft.com/office/2007/relationships/slicerCache" Target="slicerCaches/slicerCache3.xml"/><Relationship Id="rId11" Type="http://schemas.openxmlformats.org/officeDocument/2006/relationships/pivotCacheDefinition" Target="pivotCache/pivotCacheDefinition1.xml"/><Relationship Id="rId24" Type="http://schemas.openxmlformats.org/officeDocument/2006/relationships/pivotCacheDefinition" Target="pivotCache/pivotCacheDefinition14.xml"/><Relationship Id="rId32" Type="http://schemas.openxmlformats.org/officeDocument/2006/relationships/connections" Target="connections.xml"/><Relationship Id="rId37" Type="http://schemas.openxmlformats.org/officeDocument/2006/relationships/calcChain" Target="calcChain.xml"/><Relationship Id="rId40" Type="http://schemas.openxmlformats.org/officeDocument/2006/relationships/customXml" Target="../customXml/item3.xml"/><Relationship Id="rId45" Type="http://schemas.openxmlformats.org/officeDocument/2006/relationships/customXml" Target="../customXml/item8.xml"/><Relationship Id="rId53" Type="http://schemas.openxmlformats.org/officeDocument/2006/relationships/customXml" Target="../customXml/item16.xml"/><Relationship Id="rId58" Type="http://schemas.openxmlformats.org/officeDocument/2006/relationships/customXml" Target="../customXml/item21.xml"/><Relationship Id="rId66" Type="http://schemas.openxmlformats.org/officeDocument/2006/relationships/customXml" Target="../customXml/item29.xml"/><Relationship Id="rId74" Type="http://schemas.openxmlformats.org/officeDocument/2006/relationships/customXml" Target="../customXml/item37.xml"/><Relationship Id="rId5" Type="http://schemas.openxmlformats.org/officeDocument/2006/relationships/worksheet" Target="worksheets/sheet5.xml"/><Relationship Id="rId61" Type="http://schemas.openxmlformats.org/officeDocument/2006/relationships/customXml" Target="../customXml/item24.xml"/><Relationship Id="rId19" Type="http://schemas.openxmlformats.org/officeDocument/2006/relationships/pivotCacheDefinition" Target="pivotCache/pivotCacheDefinition9.xml"/><Relationship Id="rId14" Type="http://schemas.openxmlformats.org/officeDocument/2006/relationships/pivotCacheDefinition" Target="pivotCache/pivotCacheDefinition4.xml"/><Relationship Id="rId22" Type="http://schemas.openxmlformats.org/officeDocument/2006/relationships/pivotCacheDefinition" Target="pivotCache/pivotCacheDefinition12.xml"/><Relationship Id="rId27" Type="http://schemas.microsoft.com/office/2007/relationships/slicerCache" Target="slicerCaches/slicerCache1.xml"/><Relationship Id="rId30" Type="http://schemas.microsoft.com/office/2007/relationships/slicerCache" Target="slicerCaches/slicerCache4.xml"/><Relationship Id="rId35" Type="http://schemas.openxmlformats.org/officeDocument/2006/relationships/sheetMetadata" Target="metadata.xml"/><Relationship Id="rId43" Type="http://schemas.openxmlformats.org/officeDocument/2006/relationships/customXml" Target="../customXml/item6.xml"/><Relationship Id="rId48" Type="http://schemas.openxmlformats.org/officeDocument/2006/relationships/customXml" Target="../customXml/item11.xml"/><Relationship Id="rId56" Type="http://schemas.openxmlformats.org/officeDocument/2006/relationships/customXml" Target="../customXml/item19.xml"/><Relationship Id="rId64" Type="http://schemas.openxmlformats.org/officeDocument/2006/relationships/customXml" Target="../customXml/item27.xml"/><Relationship Id="rId69" Type="http://schemas.openxmlformats.org/officeDocument/2006/relationships/customXml" Target="../customXml/item32.xml"/><Relationship Id="rId8" Type="http://schemas.openxmlformats.org/officeDocument/2006/relationships/worksheet" Target="worksheets/sheet8.xml"/><Relationship Id="rId51" Type="http://schemas.openxmlformats.org/officeDocument/2006/relationships/customXml" Target="../customXml/item14.xml"/><Relationship Id="rId72" Type="http://schemas.openxmlformats.org/officeDocument/2006/relationships/customXml" Target="../customXml/item35.xml"/><Relationship Id="rId3" Type="http://schemas.openxmlformats.org/officeDocument/2006/relationships/worksheet" Target="worksheets/sheet3.xml"/><Relationship Id="rId12" Type="http://schemas.openxmlformats.org/officeDocument/2006/relationships/pivotCacheDefinition" Target="pivotCache/pivotCacheDefinition2.xml"/><Relationship Id="rId17" Type="http://schemas.openxmlformats.org/officeDocument/2006/relationships/pivotCacheDefinition" Target="pivotCache/pivotCacheDefinition7.xml"/><Relationship Id="rId25" Type="http://schemas.openxmlformats.org/officeDocument/2006/relationships/pivotCacheDefinition" Target="pivotCache/pivotCacheDefinition15.xml"/><Relationship Id="rId33" Type="http://schemas.openxmlformats.org/officeDocument/2006/relationships/styles" Target="styles.xml"/><Relationship Id="rId38" Type="http://schemas.openxmlformats.org/officeDocument/2006/relationships/customXml" Target="../customXml/item1.xml"/><Relationship Id="rId46" Type="http://schemas.openxmlformats.org/officeDocument/2006/relationships/customXml" Target="../customXml/item9.xml"/><Relationship Id="rId59" Type="http://schemas.openxmlformats.org/officeDocument/2006/relationships/customXml" Target="../customXml/item22.xml"/><Relationship Id="rId67" Type="http://schemas.openxmlformats.org/officeDocument/2006/relationships/customXml" Target="../customXml/item30.xml"/><Relationship Id="rId20" Type="http://schemas.openxmlformats.org/officeDocument/2006/relationships/pivotCacheDefinition" Target="pivotCache/pivotCacheDefinition10.xml"/><Relationship Id="rId41" Type="http://schemas.openxmlformats.org/officeDocument/2006/relationships/customXml" Target="../customXml/item4.xml"/><Relationship Id="rId54" Type="http://schemas.openxmlformats.org/officeDocument/2006/relationships/customXml" Target="../customXml/item17.xml"/><Relationship Id="rId62" Type="http://schemas.openxmlformats.org/officeDocument/2006/relationships/customXml" Target="../customXml/item25.xml"/><Relationship Id="rId70" Type="http://schemas.openxmlformats.org/officeDocument/2006/relationships/customXml" Target="../customXml/item33.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5.xml"/><Relationship Id="rId23" Type="http://schemas.openxmlformats.org/officeDocument/2006/relationships/pivotCacheDefinition" Target="pivotCache/pivotCacheDefinition13.xml"/><Relationship Id="rId28" Type="http://schemas.microsoft.com/office/2007/relationships/slicerCache" Target="slicerCaches/slicerCache2.xml"/><Relationship Id="rId36" Type="http://schemas.openxmlformats.org/officeDocument/2006/relationships/powerPivotData" Target="model/item.data"/><Relationship Id="rId49" Type="http://schemas.openxmlformats.org/officeDocument/2006/relationships/customXml" Target="../customXml/item12.xml"/><Relationship Id="rId57" Type="http://schemas.openxmlformats.org/officeDocument/2006/relationships/customXml" Target="../customXml/item20.xml"/><Relationship Id="rId10" Type="http://schemas.openxmlformats.org/officeDocument/2006/relationships/externalLink" Target="externalLinks/externalLink1.xml"/><Relationship Id="rId31" Type="http://schemas.openxmlformats.org/officeDocument/2006/relationships/theme" Target="theme/theme1.xml"/><Relationship Id="rId44" Type="http://schemas.openxmlformats.org/officeDocument/2006/relationships/customXml" Target="../customXml/item7.xml"/><Relationship Id="rId52" Type="http://schemas.openxmlformats.org/officeDocument/2006/relationships/customXml" Target="../customXml/item15.xml"/><Relationship Id="rId60" Type="http://schemas.openxmlformats.org/officeDocument/2006/relationships/customXml" Target="../customXml/item23.xml"/><Relationship Id="rId65" Type="http://schemas.openxmlformats.org/officeDocument/2006/relationships/customXml" Target="../customXml/item28.xml"/><Relationship Id="rId73" Type="http://schemas.openxmlformats.org/officeDocument/2006/relationships/customXml" Target="../customXml/item36.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pivotCacheDefinition" Target="pivotCache/pivotCacheDefinition3.xml"/><Relationship Id="rId18" Type="http://schemas.openxmlformats.org/officeDocument/2006/relationships/pivotCacheDefinition" Target="pivotCache/pivotCacheDefinition8.xml"/><Relationship Id="rId39" Type="http://schemas.openxmlformats.org/officeDocument/2006/relationships/customXml" Target="../customXml/item2.xml"/><Relationship Id="rId34" Type="http://schemas.openxmlformats.org/officeDocument/2006/relationships/sharedStrings" Target="sharedStrings.xml"/><Relationship Id="rId50" Type="http://schemas.openxmlformats.org/officeDocument/2006/relationships/customXml" Target="../customXml/item13.xml"/><Relationship Id="rId55" Type="http://schemas.openxmlformats.org/officeDocument/2006/relationships/customXml" Target="../customXml/item18.xml"/><Relationship Id="rId7" Type="http://schemas.openxmlformats.org/officeDocument/2006/relationships/worksheet" Target="worksheets/sheet7.xml"/><Relationship Id="rId71" Type="http://schemas.openxmlformats.org/officeDocument/2006/relationships/customXml" Target="../customXml/item3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[My_Personal_Finances_With_VBA - Copie.xlsm]charts!PivotTable2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Repartitions</a:t>
            </a:r>
            <a:r>
              <a:rPr lang="fr-FR" baseline="0"/>
              <a:t> des dépenses</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fr-FR"/>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pieChart>
        <c:varyColors val="1"/>
        <c:ser>
          <c:idx val="0"/>
          <c:order val="0"/>
          <c:tx>
            <c:strRef>
              <c:f>charts!$B$3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433-4705-BA8E-92E7BBED453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433-4705-BA8E-92E7BBED453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433-4705-BA8E-92E7BBED453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433-4705-BA8E-92E7BBED453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433-4705-BA8E-92E7BBED453D}"/>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fr-FR"/>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charts!$A$4:$A$9</c:f>
              <c:strCache>
                <c:ptCount val="5"/>
                <c:pt idx="0">
                  <c:v>Dime</c:v>
                </c:pt>
                <c:pt idx="1">
                  <c:v>Internet</c:v>
                </c:pt>
                <c:pt idx="2">
                  <c:v>Nourriture</c:v>
                </c:pt>
                <c:pt idx="3">
                  <c:v>Offrande</c:v>
                </c:pt>
                <c:pt idx="4">
                  <c:v>Transport</c:v>
                </c:pt>
              </c:strCache>
            </c:strRef>
          </c:cat>
          <c:val>
            <c:numRef>
              <c:f>charts!$B$4:$B$9</c:f>
              <c:numCache>
                <c:formatCode>General</c:formatCode>
                <c:ptCount val="5"/>
                <c:pt idx="0">
                  <c:v>96</c:v>
                </c:pt>
                <c:pt idx="1">
                  <c:v>10</c:v>
                </c:pt>
                <c:pt idx="2">
                  <c:v>177</c:v>
                </c:pt>
                <c:pt idx="3">
                  <c:v>268.89999999999998</c:v>
                </c:pt>
                <c:pt idx="4">
                  <c:v>98</c:v>
                </c:pt>
              </c:numCache>
            </c:numRef>
          </c:val>
          <c:extLst>
            <c:ext xmlns:c16="http://schemas.microsoft.com/office/drawing/2014/chart" uri="{C3380CC4-5D6E-409C-BE32-E72D297353CC}">
              <c16:uniqueId val="{00000000-B9E4-4C36-BA08-F8FE83C8DCC6}"/>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[My_Personal_Finances_With_VBA - Copie.xlsm]charts!PivotTable3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Dépenses</a:t>
            </a:r>
            <a:r>
              <a:rPr lang="en-US" baseline="0"/>
              <a:t> 2024</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fr-FR"/>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charts!$B$19</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496-45B8-BAE0-73B9B43D8D17}"/>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C496-45B8-BAE0-73B9B43D8D17}"/>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C496-45B8-BAE0-73B9B43D8D17}"/>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C496-45B8-BAE0-73B9B43D8D17}"/>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C496-45B8-BAE0-73B9B43D8D17}"/>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C496-45B8-BAE0-73B9B43D8D17}"/>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C496-45B8-BAE0-73B9B43D8D17}"/>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fr-FR"/>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charts!$A$20:$A$27</c:f>
              <c:strCache>
                <c:ptCount val="7"/>
                <c:pt idx="0">
                  <c:v>Accessoire</c:v>
                </c:pt>
                <c:pt idx="1">
                  <c:v>Dime</c:v>
                </c:pt>
                <c:pt idx="2">
                  <c:v>Internet</c:v>
                </c:pt>
                <c:pt idx="3">
                  <c:v>Nourriture</c:v>
                </c:pt>
                <c:pt idx="4">
                  <c:v>Offrande</c:v>
                </c:pt>
                <c:pt idx="5">
                  <c:v>Transport</c:v>
                </c:pt>
                <c:pt idx="6">
                  <c:v>(blank)</c:v>
                </c:pt>
              </c:strCache>
            </c:strRef>
          </c:cat>
          <c:val>
            <c:numRef>
              <c:f>charts!$B$20:$B$27</c:f>
              <c:numCache>
                <c:formatCode>General</c:formatCode>
                <c:ptCount val="7"/>
                <c:pt idx="0">
                  <c:v>70</c:v>
                </c:pt>
                <c:pt idx="1">
                  <c:v>96</c:v>
                </c:pt>
                <c:pt idx="2">
                  <c:v>10</c:v>
                </c:pt>
                <c:pt idx="3">
                  <c:v>177</c:v>
                </c:pt>
                <c:pt idx="4">
                  <c:v>268.89999999999998</c:v>
                </c:pt>
                <c:pt idx="5">
                  <c:v>98</c:v>
                </c:pt>
              </c:numCache>
            </c:numRef>
          </c:val>
          <c:extLst>
            <c:ext xmlns:c16="http://schemas.microsoft.com/office/drawing/2014/chart" uri="{C3380CC4-5D6E-409C-BE32-E72D297353CC}">
              <c16:uniqueId val="{00000000-D6F4-4D34-AA58-B5D1A386EA62}"/>
            </c:ext>
          </c:extLst>
        </c:ser>
        <c:dLbls>
          <c:showLegendKey val="0"/>
          <c:showVal val="0"/>
          <c:showCatName val="0"/>
          <c:showSerName val="0"/>
          <c:showPercent val="0"/>
          <c:showBubbleSize val="0"/>
          <c:showLeaderLines val="0"/>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[My_Personal_Finances_With_VBA - Copie.xlsm]charts!PivotTable16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Dépenses par Catégorie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dLbl>
          <c:idx val="0"/>
          <c:layout>
            <c:manualLayout>
              <c:x val="6.666666666666661E-2"/>
              <c:y val="-0.1203703703703703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0.1361111111111111"/>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4"/>
        <c:spPr>
          <a:solidFill>
            <a:schemeClr val="accent1"/>
          </a:solidFill>
          <a:ln w="19050">
            <a:solidFill>
              <a:schemeClr val="lt1"/>
            </a:solidFill>
          </a:ln>
          <a:effectLst/>
        </c:spPr>
        <c:dLbl>
          <c:idx val="0"/>
          <c:layout>
            <c:manualLayout>
              <c:x val="0.19166666666666657"/>
              <c:y val="5.09259259259259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9.7222222222222224E-2"/>
              <c:y val="8.333333333333332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s>
    <c:plotArea>
      <c:layout/>
      <c:doughnutChart>
        <c:varyColors val="1"/>
        <c:ser>
          <c:idx val="0"/>
          <c:order val="0"/>
          <c:tx>
            <c:strRef>
              <c:f>charts!$B$112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8F4-4E32-A242-6819A28F636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8F4-4E32-A242-6819A28F636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8F4-4E32-A242-6819A28F636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8F4-4E32-A242-6819A28F636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8F4-4E32-A242-6819A28F636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8F4-4E32-A242-6819A28F636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8F4-4E32-A242-6819A28F636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8F4-4E32-A242-6819A28F636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8F4-4E32-A242-6819A28F636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8F4-4E32-A242-6819A28F6362}"/>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8F4-4E32-A242-6819A28F6362}"/>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8F4-4E32-A242-6819A28F6362}"/>
              </c:ext>
            </c:extLst>
          </c:dPt>
          <c:dLbls>
            <c:dLbl>
              <c:idx val="0"/>
              <c:layout>
                <c:manualLayout>
                  <c:x val="6.666666666666661E-2"/>
                  <c:y val="-0.12037037037037036"/>
                </c:manualLayout>
              </c:layout>
              <c:showLegendKey val="0"/>
              <c:showVal val="1"/>
              <c:showCatName val="1"/>
              <c:showSerName val="0"/>
              <c:showPercent val="1"/>
              <c:showBubbleSize val="0"/>
              <c:separator>|</c:separator>
              <c:extLst>
                <c:ext xmlns:c15="http://schemas.microsoft.com/office/drawing/2012/chart" uri="{CE6537A1-D6FC-4f65-9D91-7224C49458BB}"/>
                <c:ext xmlns:c16="http://schemas.microsoft.com/office/drawing/2014/chart" uri="{C3380CC4-5D6E-409C-BE32-E72D297353CC}">
                  <c16:uniqueId val="{00000001-98F4-4E32-A242-6819A28F6362}"/>
                </c:ext>
              </c:extLst>
            </c:dLbl>
            <c:dLbl>
              <c:idx val="2"/>
              <c:layout>
                <c:manualLayout>
                  <c:x val="0.1361111111111111"/>
                  <c:y val="-6.0185185185185182E-2"/>
                </c:manualLayout>
              </c:layout>
              <c:showLegendKey val="0"/>
              <c:showVal val="1"/>
              <c:showCatName val="1"/>
              <c:showSerName val="0"/>
              <c:showPercent val="1"/>
              <c:showBubbleSize val="0"/>
              <c:separator>|</c:separator>
              <c:extLst>
                <c:ext xmlns:c15="http://schemas.microsoft.com/office/drawing/2012/chart" uri="{CE6537A1-D6FC-4f65-9D91-7224C49458BB}"/>
                <c:ext xmlns:c16="http://schemas.microsoft.com/office/drawing/2014/chart" uri="{C3380CC4-5D6E-409C-BE32-E72D297353CC}">
                  <c16:uniqueId val="{00000005-98F4-4E32-A242-6819A28F6362}"/>
                </c:ext>
              </c:extLst>
            </c:dLbl>
            <c:dLbl>
              <c:idx val="3"/>
              <c:layout>
                <c:manualLayout>
                  <c:x val="0.19166666666666657"/>
                  <c:y val="5.0925925925925923E-2"/>
                </c:manualLayout>
              </c:layout>
              <c:showLegendKey val="0"/>
              <c:showVal val="1"/>
              <c:showCatName val="1"/>
              <c:showSerName val="0"/>
              <c:showPercent val="1"/>
              <c:showBubbleSize val="0"/>
              <c:separator>|</c:separator>
              <c:extLst>
                <c:ext xmlns:c15="http://schemas.microsoft.com/office/drawing/2012/chart" uri="{CE6537A1-D6FC-4f65-9D91-7224C49458BB}"/>
                <c:ext xmlns:c16="http://schemas.microsoft.com/office/drawing/2014/chart" uri="{C3380CC4-5D6E-409C-BE32-E72D297353CC}">
                  <c16:uniqueId val="{00000007-98F4-4E32-A242-6819A28F6362}"/>
                </c:ext>
              </c:extLst>
            </c:dLbl>
            <c:dLbl>
              <c:idx val="4"/>
              <c:layout>
                <c:manualLayout>
                  <c:x val="9.7222222222222224E-2"/>
                  <c:y val="8.3333333333333329E-2"/>
                </c:manualLayout>
              </c:layout>
              <c:showLegendKey val="0"/>
              <c:showVal val="1"/>
              <c:showCatName val="1"/>
              <c:showSerName val="0"/>
              <c:showPercent val="1"/>
              <c:showBubbleSize val="0"/>
              <c:separator>|</c:separator>
              <c:extLst>
                <c:ext xmlns:c15="http://schemas.microsoft.com/office/drawing/2012/chart" uri="{CE6537A1-D6FC-4f65-9D91-7224C49458BB}"/>
                <c:ext xmlns:c16="http://schemas.microsoft.com/office/drawing/2014/chart" uri="{C3380CC4-5D6E-409C-BE32-E72D297353CC}">
                  <c16:uniqueId val="{00000009-98F4-4E32-A242-6819A28F636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charts!$A$113:$A$120</c:f>
              <c:strCache>
                <c:ptCount val="7"/>
                <c:pt idx="0">
                  <c:v>Accessoires</c:v>
                </c:pt>
                <c:pt idx="1">
                  <c:v>Autre</c:v>
                </c:pt>
                <c:pt idx="2">
                  <c:v>Bus/taxi/train/avion</c:v>
                </c:pt>
                <c:pt idx="3">
                  <c:v>Eau</c:v>
                </c:pt>
                <c:pt idx="4">
                  <c:v>Electricite</c:v>
                </c:pt>
                <c:pt idx="5">
                  <c:v>Internet &amp; Phone</c:v>
                </c:pt>
                <c:pt idx="6">
                  <c:v>Loyer</c:v>
                </c:pt>
              </c:strCache>
            </c:strRef>
          </c:cat>
          <c:val>
            <c:numRef>
              <c:f>charts!$B$113:$B$120</c:f>
              <c:numCache>
                <c:formatCode>General</c:formatCode>
                <c:ptCount val="7"/>
                <c:pt idx="0">
                  <c:v>400</c:v>
                </c:pt>
                <c:pt idx="1">
                  <c:v>2</c:v>
                </c:pt>
                <c:pt idx="2">
                  <c:v>100</c:v>
                </c:pt>
                <c:pt idx="3">
                  <c:v>50</c:v>
                </c:pt>
                <c:pt idx="4">
                  <c:v>200</c:v>
                </c:pt>
                <c:pt idx="5">
                  <c:v>20</c:v>
                </c:pt>
                <c:pt idx="6">
                  <c:v>1000</c:v>
                </c:pt>
              </c:numCache>
            </c:numRef>
          </c:val>
          <c:extLst>
            <c:ext xmlns:c16="http://schemas.microsoft.com/office/drawing/2014/chart" uri="{C3380CC4-5D6E-409C-BE32-E72D297353CC}">
              <c16:uniqueId val="{0000000C-FA06-40E6-9C5B-87A54F2494E4}"/>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[My_Personal_Finances_With_VBA - Copie.xlsm]charts!PivotTable15</c:name>
    <c:fmtId val="0"/>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740846820781188"/>
          <c:y val="4.6296296296296294E-2"/>
          <c:w val="0.82678311018767536"/>
          <c:h val="0.89814814814814814"/>
        </c:manualLayout>
      </c:layout>
      <c:lineChart>
        <c:grouping val="standard"/>
        <c:varyColors val="0"/>
        <c:ser>
          <c:idx val="0"/>
          <c:order val="0"/>
          <c:tx>
            <c:strRef>
              <c:f>charts!$AB$68</c:f>
              <c:strCache>
                <c:ptCount val="1"/>
                <c:pt idx="0">
                  <c:v>Depense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charts!$AA$69:$AA$74</c:f>
              <c:multiLvlStrCache>
                <c:ptCount val="4"/>
                <c:lvl>
                  <c:pt idx="0">
                    <c:v>W 27</c:v>
                  </c:pt>
                  <c:pt idx="1">
                    <c:v>W 28</c:v>
                  </c:pt>
                  <c:pt idx="2">
                    <c:v>W 29</c:v>
                  </c:pt>
                  <c:pt idx="3">
                    <c:v>W 30</c:v>
                  </c:pt>
                </c:lvl>
                <c:lvl>
                  <c:pt idx="0">
                    <c:v>juil</c:v>
                  </c:pt>
                </c:lvl>
              </c:multiLvlStrCache>
            </c:multiLvlStrRef>
          </c:cat>
          <c:val>
            <c:numRef>
              <c:f>charts!$AB$69:$AB$74</c:f>
              <c:numCache>
                <c:formatCode>General</c:formatCode>
                <c:ptCount val="4"/>
                <c:pt idx="3">
                  <c:v>1772</c:v>
                </c:pt>
              </c:numCache>
            </c:numRef>
          </c:val>
          <c:smooth val="0"/>
          <c:extLst>
            <c:ext xmlns:c16="http://schemas.microsoft.com/office/drawing/2014/chart" uri="{C3380CC4-5D6E-409C-BE32-E72D297353CC}">
              <c16:uniqueId val="{00000007-6F04-4AC3-A367-EA405A02E5B0}"/>
            </c:ext>
          </c:extLst>
        </c:ser>
        <c:ser>
          <c:idx val="1"/>
          <c:order val="1"/>
          <c:tx>
            <c:strRef>
              <c:f>charts!$AC$68</c:f>
              <c:strCache>
                <c:ptCount val="1"/>
                <c:pt idx="0">
                  <c:v>Difference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charts!$AA$69:$AA$74</c:f>
              <c:multiLvlStrCache>
                <c:ptCount val="4"/>
                <c:lvl>
                  <c:pt idx="0">
                    <c:v>W 27</c:v>
                  </c:pt>
                  <c:pt idx="1">
                    <c:v>W 28</c:v>
                  </c:pt>
                  <c:pt idx="2">
                    <c:v>W 29</c:v>
                  </c:pt>
                  <c:pt idx="3">
                    <c:v>W 30</c:v>
                  </c:pt>
                </c:lvl>
                <c:lvl>
                  <c:pt idx="0">
                    <c:v>juil</c:v>
                  </c:pt>
                </c:lvl>
              </c:multiLvlStrCache>
            </c:multiLvlStrRef>
          </c:cat>
          <c:val>
            <c:numRef>
              <c:f>charts!$AC$69:$AC$74</c:f>
              <c:numCache>
                <c:formatCode>General</c:formatCode>
                <c:ptCount val="4"/>
                <c:pt idx="0">
                  <c:v>13873</c:v>
                </c:pt>
                <c:pt idx="1">
                  <c:v>19562</c:v>
                </c:pt>
                <c:pt idx="2">
                  <c:v>2630</c:v>
                </c:pt>
                <c:pt idx="3">
                  <c:v>-570</c:v>
                </c:pt>
              </c:numCache>
            </c:numRef>
          </c:val>
          <c:smooth val="0"/>
          <c:extLst>
            <c:ext xmlns:c16="http://schemas.microsoft.com/office/drawing/2014/chart" uri="{C3380CC4-5D6E-409C-BE32-E72D297353CC}">
              <c16:uniqueId val="{00000008-6F04-4AC3-A367-EA405A02E5B0}"/>
            </c:ext>
          </c:extLst>
        </c:ser>
        <c:dLbls>
          <c:showLegendKey val="0"/>
          <c:showVal val="0"/>
          <c:showCatName val="0"/>
          <c:showSerName val="0"/>
          <c:showPercent val="0"/>
          <c:showBubbleSize val="0"/>
        </c:dLbls>
        <c:marker val="1"/>
        <c:smooth val="0"/>
        <c:axId val="1896183311"/>
        <c:axId val="1896184271"/>
      </c:lineChart>
      <c:catAx>
        <c:axId val="189618331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Mois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96184271"/>
        <c:crosses val="autoZero"/>
        <c:auto val="1"/>
        <c:lblAlgn val="ctr"/>
        <c:lblOffset val="100"/>
        <c:noMultiLvlLbl val="0"/>
      </c:catAx>
      <c:valAx>
        <c:axId val="1896184271"/>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Montant Title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96183311"/>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[My_Personal_Finances_With_VBA - Copie.xlsm]charts!PivotTable18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a:t>
            </a:r>
          </a:p>
        </c:rich>
      </c:tx>
      <c:layout>
        <c:manualLayout>
          <c:xMode val="edge"/>
          <c:yMode val="edge"/>
          <c:x val="7.7048556430446224E-2"/>
          <c:y val="0.32407407407407407"/>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pieChart>
        <c:varyColors val="1"/>
        <c:ser>
          <c:idx val="0"/>
          <c:order val="0"/>
          <c:tx>
            <c:strRef>
              <c:f>charts!$M$37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17E-42AD-8D5D-6CC336FC395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17E-42AD-8D5D-6CC336FC395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17E-42AD-8D5D-6CC336FC395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17E-42AD-8D5D-6CC336FC395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charts!$L$38:$L$41</c:f>
              <c:strCache>
                <c:ptCount val="3"/>
                <c:pt idx="0">
                  <c:v>Don</c:v>
                </c:pt>
                <c:pt idx="1">
                  <c:v>Freelancing</c:v>
                </c:pt>
                <c:pt idx="2">
                  <c:v>Salaire</c:v>
                </c:pt>
              </c:strCache>
            </c:strRef>
          </c:cat>
          <c:val>
            <c:numRef>
              <c:f>charts!$M$38:$M$41</c:f>
              <c:numCache>
                <c:formatCode>General</c:formatCode>
                <c:ptCount val="3"/>
                <c:pt idx="0">
                  <c:v>685</c:v>
                </c:pt>
                <c:pt idx="1">
                  <c:v>10961</c:v>
                </c:pt>
                <c:pt idx="2">
                  <c:v>25621</c:v>
                </c:pt>
              </c:numCache>
            </c:numRef>
          </c:val>
          <c:extLst>
            <c:ext xmlns:c16="http://schemas.microsoft.com/office/drawing/2014/chart" uri="{C3380CC4-5D6E-409C-BE32-E72D297353CC}">
              <c16:uniqueId val="{00000004-96E3-49B4-8988-044D7BFDE346}"/>
            </c:ext>
          </c:extLst>
        </c:ser>
        <c:dLbls>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[My_Personal_Finances_With_VBA - Copie.xlsm]charts!PivotTable25</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charts!$E$137</c:f>
              <c:strCache>
                <c:ptCount val="1"/>
                <c:pt idx="0">
                  <c:v>Total</c:v>
                </c:pt>
              </c:strCache>
            </c:strRef>
          </c:tx>
          <c:spPr>
            <a:solidFill>
              <a:schemeClr val="accent1"/>
            </a:solidFill>
            <a:ln>
              <a:noFill/>
            </a:ln>
            <a:effectLst/>
          </c:spPr>
          <c:invertIfNegative val="0"/>
          <c:cat>
            <c:strRef>
              <c:f>charts!$D$138:$D$140</c:f>
              <c:strCache>
                <c:ptCount val="2"/>
                <c:pt idx="0">
                  <c:v>Banque</c:v>
                </c:pt>
                <c:pt idx="1">
                  <c:v>Portefeuille</c:v>
                </c:pt>
              </c:strCache>
            </c:strRef>
          </c:cat>
          <c:val>
            <c:numRef>
              <c:f>charts!$E$138:$E$140</c:f>
              <c:numCache>
                <c:formatCode>General</c:formatCode>
                <c:ptCount val="2"/>
                <c:pt idx="0">
                  <c:v>34960</c:v>
                </c:pt>
                <c:pt idx="1">
                  <c:v>9845</c:v>
                </c:pt>
              </c:numCache>
            </c:numRef>
          </c:val>
          <c:extLst>
            <c:ext xmlns:c16="http://schemas.microsoft.com/office/drawing/2014/chart" uri="{C3380CC4-5D6E-409C-BE32-E72D297353CC}">
              <c16:uniqueId val="{00000000-776D-46CE-8AB7-42F61414E61F}"/>
            </c:ext>
          </c:extLst>
        </c:ser>
        <c:dLbls>
          <c:showLegendKey val="0"/>
          <c:showVal val="0"/>
          <c:showCatName val="0"/>
          <c:showSerName val="0"/>
          <c:showPercent val="0"/>
          <c:showBubbleSize val="0"/>
        </c:dLbls>
        <c:gapWidth val="182"/>
        <c:axId val="2066533984"/>
        <c:axId val="2066535904"/>
      </c:barChart>
      <c:catAx>
        <c:axId val="20665339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066535904"/>
        <c:crosses val="autoZero"/>
        <c:auto val="1"/>
        <c:lblAlgn val="ctr"/>
        <c:lblOffset val="100"/>
        <c:noMultiLvlLbl val="0"/>
      </c:catAx>
      <c:valAx>
        <c:axId val="206653590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0665339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[My_Personal_Finances_With_VBA - Copie.xlsm]charts!PivotTable16</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Dépenses</a:t>
            </a:r>
          </a:p>
        </c:rich>
      </c:tx>
      <c:layout>
        <c:manualLayout>
          <c:xMode val="edge"/>
          <c:yMode val="edge"/>
          <c:x val="3.6302257743171529E-2"/>
          <c:y val="4.69914063246329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1"/>
        <c:spPr>
          <a:solidFill>
            <a:schemeClr val="accent6"/>
          </a:solidFill>
          <a:ln w="19050">
            <a:solidFill>
              <a:schemeClr val="lt1"/>
            </a:solidFill>
          </a:ln>
          <a:effectLst/>
        </c:spPr>
        <c:dLbl>
          <c:idx val="0"/>
          <c:layout>
            <c:manualLayout>
              <c:x val="-8.8888888888888892E-2"/>
              <c:y val="-0.2685185185185185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6.666666666666661E-2"/>
              <c:y val="-0.1203703703703703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3"/>
        <c:spPr>
          <a:solidFill>
            <a:schemeClr val="accent2"/>
          </a:solidFill>
          <a:ln w="19050">
            <a:solidFill>
              <a:schemeClr val="lt1"/>
            </a:solidFill>
          </a:ln>
          <a:effectLst/>
        </c:spPr>
        <c:dLbl>
          <c:idx val="0"/>
          <c:layout>
            <c:manualLayout>
              <c:x val="0.1361111111111111"/>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4"/>
        <c:spPr>
          <a:solidFill>
            <a:schemeClr val="accent3"/>
          </a:solidFill>
          <a:ln w="19050">
            <a:solidFill>
              <a:schemeClr val="lt1"/>
            </a:solidFill>
          </a:ln>
          <a:effectLst/>
        </c:spPr>
        <c:dLbl>
          <c:idx val="0"/>
          <c:layout>
            <c:manualLayout>
              <c:x val="0.16944444444444434"/>
              <c:y val="2.31481481481481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5"/>
        <c:spPr>
          <a:solidFill>
            <a:schemeClr val="accent4"/>
          </a:solidFill>
          <a:ln w="19050">
            <a:solidFill>
              <a:schemeClr val="lt1"/>
            </a:solidFill>
          </a:ln>
          <a:effectLst/>
        </c:spPr>
        <c:dLbl>
          <c:idx val="0"/>
          <c:layout>
            <c:manualLayout>
              <c:x val="0.19166666666666657"/>
              <c:y val="5.09259259259259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6"/>
        <c:spPr>
          <a:solidFill>
            <a:schemeClr val="accent5"/>
          </a:solidFill>
          <a:ln w="19050">
            <a:solidFill>
              <a:schemeClr val="lt1"/>
            </a:solidFill>
          </a:ln>
          <a:effectLst/>
        </c:spPr>
        <c:dLbl>
          <c:idx val="0"/>
          <c:layout>
            <c:manualLayout>
              <c:x val="9.7222222222222224E-2"/>
              <c:y val="8.333333333333332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6.666666666666661E-2"/>
              <c:y val="-0.1203703703703703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0.1361111111111111"/>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layout>
            <c:manualLayout>
              <c:x val="0.16944444444444434"/>
              <c:y val="2.31481481481481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0.19166666666666657"/>
              <c:y val="5.09259259259259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12"/>
        <c:spPr>
          <a:solidFill>
            <a:schemeClr val="accent1"/>
          </a:solidFill>
          <a:ln w="19050">
            <a:solidFill>
              <a:schemeClr val="lt1"/>
            </a:solidFill>
          </a:ln>
          <a:effectLst/>
        </c:spPr>
        <c:dLbl>
          <c:idx val="0"/>
          <c:layout>
            <c:manualLayout>
              <c:x val="9.7222222222222224E-2"/>
              <c:y val="8.333333333333332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layout>
            <c:manualLayout>
              <c:x val="-8.8888888888888892E-2"/>
              <c:y val="-0.2685185185185185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15"/>
        <c:spPr>
          <a:solidFill>
            <a:schemeClr val="accent1"/>
          </a:solidFill>
          <a:ln w="19050">
            <a:solidFill>
              <a:schemeClr val="lt1"/>
            </a:solidFill>
          </a:ln>
          <a:effectLst/>
        </c:spPr>
        <c:dLbl>
          <c:idx val="0"/>
          <c:layout>
            <c:manualLayout>
              <c:x val="6.666666666666661E-2"/>
              <c:y val="-0.1203703703703703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16"/>
        <c:spPr>
          <a:solidFill>
            <a:schemeClr val="accent1"/>
          </a:solidFill>
          <a:ln w="19050">
            <a:solidFill>
              <a:schemeClr val="lt1"/>
            </a:solidFill>
          </a:ln>
          <a:effectLst/>
        </c:spPr>
        <c:dLbl>
          <c:idx val="0"/>
          <c:layout>
            <c:manualLayout>
              <c:x val="0.1361111111111111"/>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17"/>
        <c:spPr>
          <a:solidFill>
            <a:schemeClr val="accent1"/>
          </a:solidFill>
          <a:ln w="19050">
            <a:solidFill>
              <a:schemeClr val="lt1"/>
            </a:solidFill>
          </a:ln>
          <a:effectLst/>
        </c:spPr>
        <c:dLbl>
          <c:idx val="0"/>
          <c:layout>
            <c:manualLayout>
              <c:x val="0.16944444444444434"/>
              <c:y val="2.31481481481481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18"/>
        <c:spPr>
          <a:solidFill>
            <a:schemeClr val="accent1"/>
          </a:solidFill>
          <a:ln w="19050">
            <a:solidFill>
              <a:schemeClr val="lt1"/>
            </a:solidFill>
          </a:ln>
          <a:effectLst/>
        </c:spPr>
        <c:dLbl>
          <c:idx val="0"/>
          <c:layout>
            <c:manualLayout>
              <c:x val="0.19166666666666657"/>
              <c:y val="5.09259259259259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19"/>
        <c:spPr>
          <a:solidFill>
            <a:schemeClr val="accent1"/>
          </a:solidFill>
          <a:ln w="19050">
            <a:solidFill>
              <a:schemeClr val="lt1"/>
            </a:solidFill>
          </a:ln>
          <a:effectLst/>
        </c:spPr>
        <c:dLbl>
          <c:idx val="0"/>
          <c:layout>
            <c:manualLayout>
              <c:x val="9.7222222222222224E-2"/>
              <c:y val="8.333333333333332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20"/>
        <c:spPr>
          <a:solidFill>
            <a:schemeClr val="accent1"/>
          </a:solidFill>
          <a:ln w="19050">
            <a:solidFill>
              <a:schemeClr val="lt1"/>
            </a:solidFill>
          </a:ln>
          <a:effectLst/>
        </c:spPr>
        <c:dLbl>
          <c:idx val="0"/>
          <c:layout>
            <c:manualLayout>
              <c:x val="-8.8888888888888892E-2"/>
              <c:y val="-0.2685185185185185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s>
    <c:plotArea>
      <c:layout/>
      <c:doughnutChart>
        <c:varyColors val="1"/>
        <c:ser>
          <c:idx val="0"/>
          <c:order val="0"/>
          <c:tx>
            <c:strRef>
              <c:f>charts!$B$112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AF7-49E5-B2FF-33B01AC3F8A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AF7-49E5-B2FF-33B01AC3F8A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AF7-49E5-B2FF-33B01AC3F8A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AF7-49E5-B2FF-33B01AC3F8AF}"/>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AF7-49E5-B2FF-33B01AC3F8AF}"/>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BAF7-49E5-B2FF-33B01AC3F8AF}"/>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BAF7-49E5-B2FF-33B01AC3F8AF}"/>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BAF7-49E5-B2FF-33B01AC3F8AF}"/>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BAF7-49E5-B2FF-33B01AC3F8AF}"/>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BAF7-49E5-B2FF-33B01AC3F8AF}"/>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BAF7-49E5-B2FF-33B01AC3F8AF}"/>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BAF7-49E5-B2FF-33B01AC3F8AF}"/>
              </c:ext>
            </c:extLst>
          </c:dPt>
          <c:dLbls>
            <c:dLbl>
              <c:idx val="0"/>
              <c:layout>
                <c:manualLayout>
                  <c:x val="6.666666666666661E-2"/>
                  <c:y val="-0.12037037037037036"/>
                </c:manualLayout>
              </c:layout>
              <c:showLegendKey val="0"/>
              <c:showVal val="1"/>
              <c:showCatName val="1"/>
              <c:showSerName val="0"/>
              <c:showPercent val="1"/>
              <c:showBubbleSize val="0"/>
              <c:separator>|</c:separator>
              <c:extLst>
                <c:ext xmlns:c15="http://schemas.microsoft.com/office/drawing/2012/chart" uri="{CE6537A1-D6FC-4f65-9D91-7224C49458BB}"/>
                <c:ext xmlns:c16="http://schemas.microsoft.com/office/drawing/2014/chart" uri="{C3380CC4-5D6E-409C-BE32-E72D297353CC}">
                  <c16:uniqueId val="{00000001-BAF7-49E5-B2FF-33B01AC3F8AF}"/>
                </c:ext>
              </c:extLst>
            </c:dLbl>
            <c:dLbl>
              <c:idx val="2"/>
              <c:layout>
                <c:manualLayout>
                  <c:x val="0.1361111111111111"/>
                  <c:y val="-6.0185185185185182E-2"/>
                </c:manualLayout>
              </c:layout>
              <c:showLegendKey val="0"/>
              <c:showVal val="1"/>
              <c:showCatName val="1"/>
              <c:showSerName val="0"/>
              <c:showPercent val="1"/>
              <c:showBubbleSize val="0"/>
              <c:separator>|</c:separator>
              <c:extLst>
                <c:ext xmlns:c15="http://schemas.microsoft.com/office/drawing/2012/chart" uri="{CE6537A1-D6FC-4f65-9D91-7224C49458BB}"/>
                <c:ext xmlns:c16="http://schemas.microsoft.com/office/drawing/2014/chart" uri="{C3380CC4-5D6E-409C-BE32-E72D297353CC}">
                  <c16:uniqueId val="{00000005-BAF7-49E5-B2FF-33B01AC3F8AF}"/>
                </c:ext>
              </c:extLst>
            </c:dLbl>
            <c:dLbl>
              <c:idx val="3"/>
              <c:layout>
                <c:manualLayout>
                  <c:x val="0.16944444444444434"/>
                  <c:y val="2.3148148148148147E-2"/>
                </c:manualLayout>
              </c:layout>
              <c:showLegendKey val="0"/>
              <c:showVal val="1"/>
              <c:showCatName val="1"/>
              <c:showSerName val="0"/>
              <c:showPercent val="1"/>
              <c:showBubbleSize val="0"/>
              <c:separator>|</c:separator>
              <c:extLst>
                <c:ext xmlns:c15="http://schemas.microsoft.com/office/drawing/2012/chart" uri="{CE6537A1-D6FC-4f65-9D91-7224C49458BB}"/>
                <c:ext xmlns:c16="http://schemas.microsoft.com/office/drawing/2014/chart" uri="{C3380CC4-5D6E-409C-BE32-E72D297353CC}">
                  <c16:uniqueId val="{00000007-BAF7-49E5-B2FF-33B01AC3F8AF}"/>
                </c:ext>
              </c:extLst>
            </c:dLbl>
            <c:dLbl>
              <c:idx val="4"/>
              <c:layout>
                <c:manualLayout>
                  <c:x val="0.19166666666666657"/>
                  <c:y val="5.0925925925925923E-2"/>
                </c:manualLayout>
              </c:layout>
              <c:showLegendKey val="0"/>
              <c:showVal val="1"/>
              <c:showCatName val="1"/>
              <c:showSerName val="0"/>
              <c:showPercent val="1"/>
              <c:showBubbleSize val="0"/>
              <c:separator>|</c:separator>
              <c:extLst>
                <c:ext xmlns:c15="http://schemas.microsoft.com/office/drawing/2012/chart" uri="{CE6537A1-D6FC-4f65-9D91-7224C49458BB}"/>
                <c:ext xmlns:c16="http://schemas.microsoft.com/office/drawing/2014/chart" uri="{C3380CC4-5D6E-409C-BE32-E72D297353CC}">
                  <c16:uniqueId val="{00000009-BAF7-49E5-B2FF-33B01AC3F8AF}"/>
                </c:ext>
              </c:extLst>
            </c:dLbl>
            <c:dLbl>
              <c:idx val="5"/>
              <c:layout>
                <c:manualLayout>
                  <c:x val="9.7222222222222224E-2"/>
                  <c:y val="8.3333333333333329E-2"/>
                </c:manualLayout>
              </c:layout>
              <c:showLegendKey val="0"/>
              <c:showVal val="1"/>
              <c:showCatName val="1"/>
              <c:showSerName val="0"/>
              <c:showPercent val="1"/>
              <c:showBubbleSize val="0"/>
              <c:separator>|</c:separator>
              <c:extLst>
                <c:ext xmlns:c15="http://schemas.microsoft.com/office/drawing/2012/chart" uri="{CE6537A1-D6FC-4f65-9D91-7224C49458BB}"/>
                <c:ext xmlns:c16="http://schemas.microsoft.com/office/drawing/2014/chart" uri="{C3380CC4-5D6E-409C-BE32-E72D297353CC}">
                  <c16:uniqueId val="{0000000B-BAF7-49E5-B2FF-33B01AC3F8AF}"/>
                </c:ext>
              </c:extLst>
            </c:dLbl>
            <c:dLbl>
              <c:idx val="6"/>
              <c:layout>
                <c:manualLayout>
                  <c:x val="-8.8888888888888892E-2"/>
                  <c:y val="-0.26851851851851855"/>
                </c:manualLayout>
              </c:layout>
              <c:showLegendKey val="0"/>
              <c:showVal val="1"/>
              <c:showCatName val="1"/>
              <c:showSerName val="0"/>
              <c:showPercent val="1"/>
              <c:showBubbleSize val="0"/>
              <c:separator>|</c:separator>
              <c:extLst>
                <c:ext xmlns:c15="http://schemas.microsoft.com/office/drawing/2012/chart" uri="{CE6537A1-D6FC-4f65-9D91-7224C49458BB}"/>
                <c:ext xmlns:c16="http://schemas.microsoft.com/office/drawing/2014/chart" uri="{C3380CC4-5D6E-409C-BE32-E72D297353CC}">
                  <c16:uniqueId val="{0000000D-BAF7-49E5-B2FF-33B01AC3F8A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charts!$A$113:$A$120</c:f>
              <c:strCache>
                <c:ptCount val="7"/>
                <c:pt idx="0">
                  <c:v>Accessoires</c:v>
                </c:pt>
                <c:pt idx="1">
                  <c:v>Autre</c:v>
                </c:pt>
                <c:pt idx="2">
                  <c:v>Bus/taxi/train/avion</c:v>
                </c:pt>
                <c:pt idx="3">
                  <c:v>Eau</c:v>
                </c:pt>
                <c:pt idx="4">
                  <c:v>Electricite</c:v>
                </c:pt>
                <c:pt idx="5">
                  <c:v>Internet &amp; Phone</c:v>
                </c:pt>
                <c:pt idx="6">
                  <c:v>Loyer</c:v>
                </c:pt>
              </c:strCache>
            </c:strRef>
          </c:cat>
          <c:val>
            <c:numRef>
              <c:f>charts!$B$113:$B$120</c:f>
              <c:numCache>
                <c:formatCode>General</c:formatCode>
                <c:ptCount val="7"/>
                <c:pt idx="0">
                  <c:v>400</c:v>
                </c:pt>
                <c:pt idx="1">
                  <c:v>2</c:v>
                </c:pt>
                <c:pt idx="2">
                  <c:v>100</c:v>
                </c:pt>
                <c:pt idx="3">
                  <c:v>50</c:v>
                </c:pt>
                <c:pt idx="4">
                  <c:v>200</c:v>
                </c:pt>
                <c:pt idx="5">
                  <c:v>20</c:v>
                </c:pt>
                <c:pt idx="6">
                  <c:v>1000</c:v>
                </c:pt>
              </c:numCache>
            </c:numRef>
          </c:val>
          <c:extLst>
            <c:ext xmlns:c16="http://schemas.microsoft.com/office/drawing/2014/chart" uri="{C3380CC4-5D6E-409C-BE32-E72D297353CC}">
              <c16:uniqueId val="{00000012-603F-43D3-8963-7204D7DE8E73}"/>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2700000" sx="101000" sy="101000" algn="tl" rotWithShape="0">
        <a:prstClr val="black">
          <a:alpha val="40000"/>
        </a:prstClr>
      </a:outerShdw>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[My_Personal_Finances_With_VBA - Copie.xlsm]charts!PivotTable15</c:name>
    <c:fmtId val="2"/>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740846820781188"/>
          <c:y val="4.6296296296296294E-2"/>
          <c:w val="0.82678311018767536"/>
          <c:h val="0.89814814814814814"/>
        </c:manualLayout>
      </c:layout>
      <c:lineChart>
        <c:grouping val="standard"/>
        <c:varyColors val="0"/>
        <c:ser>
          <c:idx val="0"/>
          <c:order val="0"/>
          <c:tx>
            <c:strRef>
              <c:f>charts!$AB$68</c:f>
              <c:strCache>
                <c:ptCount val="1"/>
                <c:pt idx="0">
                  <c:v>Depense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charts!$AA$69:$AA$74</c:f>
              <c:multiLvlStrCache>
                <c:ptCount val="4"/>
                <c:lvl>
                  <c:pt idx="0">
                    <c:v>W 27</c:v>
                  </c:pt>
                  <c:pt idx="1">
                    <c:v>W 28</c:v>
                  </c:pt>
                  <c:pt idx="2">
                    <c:v>W 29</c:v>
                  </c:pt>
                  <c:pt idx="3">
                    <c:v>W 30</c:v>
                  </c:pt>
                </c:lvl>
                <c:lvl>
                  <c:pt idx="0">
                    <c:v>juil</c:v>
                  </c:pt>
                </c:lvl>
              </c:multiLvlStrCache>
            </c:multiLvlStrRef>
          </c:cat>
          <c:val>
            <c:numRef>
              <c:f>charts!$AB$69:$AB$74</c:f>
              <c:numCache>
                <c:formatCode>General</c:formatCode>
                <c:ptCount val="4"/>
                <c:pt idx="3">
                  <c:v>1772</c:v>
                </c:pt>
              </c:numCache>
            </c:numRef>
          </c:val>
          <c:smooth val="0"/>
          <c:extLst>
            <c:ext xmlns:c16="http://schemas.microsoft.com/office/drawing/2014/chart" uri="{C3380CC4-5D6E-409C-BE32-E72D297353CC}">
              <c16:uniqueId val="{00000007-23D4-42AD-845A-9102409C8D8B}"/>
            </c:ext>
          </c:extLst>
        </c:ser>
        <c:ser>
          <c:idx val="1"/>
          <c:order val="1"/>
          <c:tx>
            <c:strRef>
              <c:f>charts!$AC$68</c:f>
              <c:strCache>
                <c:ptCount val="1"/>
                <c:pt idx="0">
                  <c:v>Difference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charts!$AA$69:$AA$74</c:f>
              <c:multiLvlStrCache>
                <c:ptCount val="4"/>
                <c:lvl>
                  <c:pt idx="0">
                    <c:v>W 27</c:v>
                  </c:pt>
                  <c:pt idx="1">
                    <c:v>W 28</c:v>
                  </c:pt>
                  <c:pt idx="2">
                    <c:v>W 29</c:v>
                  </c:pt>
                  <c:pt idx="3">
                    <c:v>W 30</c:v>
                  </c:pt>
                </c:lvl>
                <c:lvl>
                  <c:pt idx="0">
                    <c:v>juil</c:v>
                  </c:pt>
                </c:lvl>
              </c:multiLvlStrCache>
            </c:multiLvlStrRef>
          </c:cat>
          <c:val>
            <c:numRef>
              <c:f>charts!$AC$69:$AC$74</c:f>
              <c:numCache>
                <c:formatCode>General</c:formatCode>
                <c:ptCount val="4"/>
                <c:pt idx="0">
                  <c:v>13873</c:v>
                </c:pt>
                <c:pt idx="1">
                  <c:v>19562</c:v>
                </c:pt>
                <c:pt idx="2">
                  <c:v>2630</c:v>
                </c:pt>
                <c:pt idx="3">
                  <c:v>-570</c:v>
                </c:pt>
              </c:numCache>
            </c:numRef>
          </c:val>
          <c:smooth val="0"/>
          <c:extLst>
            <c:ext xmlns:c16="http://schemas.microsoft.com/office/drawing/2014/chart" uri="{C3380CC4-5D6E-409C-BE32-E72D297353CC}">
              <c16:uniqueId val="{00000008-23D4-42AD-845A-9102409C8D8B}"/>
            </c:ext>
          </c:extLst>
        </c:ser>
        <c:dLbls>
          <c:showLegendKey val="0"/>
          <c:showVal val="0"/>
          <c:showCatName val="0"/>
          <c:showSerName val="0"/>
          <c:showPercent val="0"/>
          <c:showBubbleSize val="0"/>
        </c:dLbls>
        <c:marker val="1"/>
        <c:smooth val="0"/>
        <c:axId val="1896183311"/>
        <c:axId val="1896184271"/>
      </c:lineChart>
      <c:catAx>
        <c:axId val="1896183311"/>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96184271"/>
        <c:crosses val="autoZero"/>
        <c:auto val="1"/>
        <c:lblAlgn val="ctr"/>
        <c:lblOffset val="100"/>
        <c:noMultiLvlLbl val="0"/>
      </c:catAx>
      <c:valAx>
        <c:axId val="1896184271"/>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Montant Title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96183311"/>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2700000" sx="101000" sy="101000" algn="tl" rotWithShape="0">
        <a:prstClr val="black">
          <a:alpha val="40000"/>
        </a:prstClr>
      </a:outerShdw>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[My_Personal_Finances_With_VBA - Copie.xlsm]charts!PivotTable18</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Revenue</a:t>
            </a:r>
          </a:p>
        </c:rich>
      </c:tx>
      <c:layout>
        <c:manualLayout>
          <c:xMode val="edge"/>
          <c:yMode val="edge"/>
          <c:x val="4.0176505641859532E-2"/>
          <c:y val="5.034951341168942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s>
    <c:plotArea>
      <c:layout/>
      <c:pieChart>
        <c:varyColors val="1"/>
        <c:ser>
          <c:idx val="0"/>
          <c:order val="0"/>
          <c:tx>
            <c:strRef>
              <c:f>charts!$M$37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A53-47A9-A6EF-BACA46F5758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A53-47A9-A6EF-BACA46F5758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A53-47A9-A6EF-BACA46F5758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A53-47A9-A6EF-BACA46F5758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charts!$L$38:$L$41</c:f>
              <c:strCache>
                <c:ptCount val="3"/>
                <c:pt idx="0">
                  <c:v>Don</c:v>
                </c:pt>
                <c:pt idx="1">
                  <c:v>Freelancing</c:v>
                </c:pt>
                <c:pt idx="2">
                  <c:v>Salaire</c:v>
                </c:pt>
              </c:strCache>
            </c:strRef>
          </c:cat>
          <c:val>
            <c:numRef>
              <c:f>charts!$M$38:$M$41</c:f>
              <c:numCache>
                <c:formatCode>General</c:formatCode>
                <c:ptCount val="3"/>
                <c:pt idx="0">
                  <c:v>685</c:v>
                </c:pt>
                <c:pt idx="1">
                  <c:v>10961</c:v>
                </c:pt>
                <c:pt idx="2">
                  <c:v>25621</c:v>
                </c:pt>
              </c:numCache>
            </c:numRef>
          </c:val>
          <c:extLst>
            <c:ext xmlns:c16="http://schemas.microsoft.com/office/drawing/2014/chart" uri="{C3380CC4-5D6E-409C-BE32-E72D297353CC}">
              <c16:uniqueId val="{0000000F-8D6F-4C56-A259-0964932BD0FA}"/>
            </c:ext>
          </c:extLst>
        </c:ser>
        <c:dLbls>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2700000" sx="101000" sy="101000" algn="tl" rotWithShape="0">
        <a:prstClr val="black">
          <a:alpha val="40000"/>
        </a:prstClr>
      </a:outerShdw>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0</xdr:row>
          <xdr:rowOff>1882</xdr:rowOff>
        </xdr:from>
        <xdr:to>
          <xdr:col>3</xdr:col>
          <xdr:colOff>266700</xdr:colOff>
          <xdr:row>1</xdr:row>
          <xdr:rowOff>1882</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Aptos Narrow"/>
                </a:rPr>
                <a:t>NOUVELLE ENTRÉE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476013</xdr:colOff>
          <xdr:row>0</xdr:row>
          <xdr:rowOff>12700</xdr:rowOff>
        </xdr:from>
        <xdr:to>
          <xdr:col>14</xdr:col>
          <xdr:colOff>996713</xdr:colOff>
          <xdr:row>1</xdr:row>
          <xdr:rowOff>12700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Aptos Narrow"/>
                </a:rPr>
                <a:t>NOUVELLE DEPENSE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12700</xdr:colOff>
          <xdr:row>43</xdr:row>
          <xdr:rowOff>12700</xdr:rowOff>
        </xdr:from>
        <xdr:to>
          <xdr:col>14</xdr:col>
          <xdr:colOff>0</xdr:colOff>
          <xdr:row>44</xdr:row>
          <xdr:rowOff>190500</xdr:rowOff>
        </xdr:to>
        <xdr:sp macro="" textlink="">
          <xdr:nvSpPr>
            <xdr:cNvPr id="4107" name="ComButtonPerte"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527050</xdr:colOff>
      <xdr:row>1</xdr:row>
      <xdr:rowOff>50800</xdr:rowOff>
    </xdr:from>
    <xdr:to>
      <xdr:col>10</xdr:col>
      <xdr:colOff>222250</xdr:colOff>
      <xdr:row>16</xdr:row>
      <xdr:rowOff>31750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444500</xdr:colOff>
      <xdr:row>17</xdr:row>
      <xdr:rowOff>19050</xdr:rowOff>
    </xdr:from>
    <xdr:to>
      <xdr:col>10</xdr:col>
      <xdr:colOff>139700</xdr:colOff>
      <xdr:row>32</xdr:row>
      <xdr:rowOff>0</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350855</xdr:colOff>
      <xdr:row>108</xdr:row>
      <xdr:rowOff>98353</xdr:rowOff>
    </xdr:from>
    <xdr:to>
      <xdr:col>10</xdr:col>
      <xdr:colOff>36565</xdr:colOff>
      <xdr:row>122</xdr:row>
      <xdr:rowOff>76253</xdr:rowOff>
    </xdr:to>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527050</xdr:colOff>
      <xdr:row>66</xdr:row>
      <xdr:rowOff>61023</xdr:rowOff>
    </xdr:from>
    <xdr:to>
      <xdr:col>13</xdr:col>
      <xdr:colOff>190500</xdr:colOff>
      <xdr:row>81</xdr:row>
      <xdr:rowOff>41974</xdr:rowOff>
    </xdr:to>
    <xdr:graphicFrame macro="">
      <xdr:nvGraphicFramePr>
        <xdr:cNvPr id="6" name="Chart 5">
          <a:extLst>
            <a:ext uri="{FF2B5EF4-FFF2-40B4-BE49-F238E27FC236}">
              <a16:creationId xmlns:a16="http://schemas.microsoft.com/office/drawing/2014/main" id="{00000000-0008-0000-04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55197</xdr:colOff>
      <xdr:row>34</xdr:row>
      <xdr:rowOff>75607</xdr:rowOff>
    </xdr:from>
    <xdr:to>
      <xdr:col>10</xdr:col>
      <xdr:colOff>30215</xdr:colOff>
      <xdr:row>49</xdr:row>
      <xdr:rowOff>56557</xdr:rowOff>
    </xdr:to>
    <xdr:graphicFrame macro="">
      <xdr:nvGraphicFramePr>
        <xdr:cNvPr id="7" name="Chart 6">
          <a:extLst>
            <a:ext uri="{FF2B5EF4-FFF2-40B4-BE49-F238E27FC236}">
              <a16:creationId xmlns:a16="http://schemas.microsoft.com/office/drawing/2014/main" id="{00000000-0008-0000-04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816428</xdr:colOff>
      <xdr:row>126</xdr:row>
      <xdr:rowOff>104670</xdr:rowOff>
    </xdr:from>
    <xdr:to>
      <xdr:col>6</xdr:col>
      <xdr:colOff>355879</xdr:colOff>
      <xdr:row>133</xdr:row>
      <xdr:rowOff>125604</xdr:rowOff>
    </xdr:to>
    <xdr:graphicFrame macro="">
      <xdr:nvGraphicFramePr>
        <xdr:cNvPr id="8" name="Chart 7">
          <a:extLst>
            <a:ext uri="{FF2B5EF4-FFF2-40B4-BE49-F238E27FC236}">
              <a16:creationId xmlns:a16="http://schemas.microsoft.com/office/drawing/2014/main" id="{00000000-0008-0000-04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165100</xdr:colOff>
          <xdr:row>0</xdr:row>
          <xdr:rowOff>38100</xdr:rowOff>
        </xdr:from>
        <xdr:to>
          <xdr:col>3</xdr:col>
          <xdr:colOff>2755900</xdr:colOff>
          <xdr:row>2</xdr:row>
          <xdr:rowOff>152400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Aptos Narrow"/>
                </a:rPr>
                <a:t>NOUVELLE ENTRÉE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120650</xdr:colOff>
          <xdr:row>1</xdr:row>
          <xdr:rowOff>6350</xdr:rowOff>
        </xdr:from>
        <xdr:to>
          <xdr:col>4</xdr:col>
          <xdr:colOff>2457450</xdr:colOff>
          <xdr:row>2</xdr:row>
          <xdr:rowOff>165100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Aptos Narrow"/>
                </a:rPr>
                <a:t>NOUVELLE DEPENSE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150603</xdr:colOff>
      <xdr:row>32</xdr:row>
      <xdr:rowOff>62190</xdr:rowOff>
    </xdr:from>
    <xdr:to>
      <xdr:col>4</xdr:col>
      <xdr:colOff>234648</xdr:colOff>
      <xdr:row>41</xdr:row>
      <xdr:rowOff>148617</xdr:rowOff>
    </xdr:to>
    <xdr:sp macro="" textlink="">
      <xdr:nvSpPr>
        <xdr:cNvPr id="26" name="Rectangle: Rounded Corners 25">
          <a:extLst>
            <a:ext uri="{FF2B5EF4-FFF2-40B4-BE49-F238E27FC236}">
              <a16:creationId xmlns:a16="http://schemas.microsoft.com/office/drawing/2014/main" id="{00000000-0008-0000-0300-00001A000000}"/>
            </a:ext>
          </a:extLst>
        </xdr:cNvPr>
        <xdr:cNvSpPr/>
      </xdr:nvSpPr>
      <xdr:spPr>
        <a:xfrm>
          <a:off x="150603" y="7087722"/>
          <a:ext cx="2110641" cy="1788767"/>
        </a:xfrm>
        <a:prstGeom prst="roundRect">
          <a:avLst>
            <a:gd name="adj" fmla="val 8104"/>
          </a:avLst>
        </a:prstGeom>
        <a:solidFill>
          <a:schemeClr val="bg1">
            <a:lumMod val="85000"/>
          </a:schemeClr>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145406</xdr:colOff>
      <xdr:row>14</xdr:row>
      <xdr:rowOff>45099</xdr:rowOff>
    </xdr:from>
    <xdr:to>
      <xdr:col>4</xdr:col>
      <xdr:colOff>229451</xdr:colOff>
      <xdr:row>31</xdr:row>
      <xdr:rowOff>121596</xdr:rowOff>
    </xdr:to>
    <xdr:sp macro="" textlink="">
      <xdr:nvSpPr>
        <xdr:cNvPr id="31" name="Rectangle: Rounded Corners 30">
          <a:extLst>
            <a:ext uri="{FF2B5EF4-FFF2-40B4-BE49-F238E27FC236}">
              <a16:creationId xmlns:a16="http://schemas.microsoft.com/office/drawing/2014/main" id="{00000000-0008-0000-0300-00001F000000}"/>
            </a:ext>
          </a:extLst>
        </xdr:cNvPr>
        <xdr:cNvSpPr/>
      </xdr:nvSpPr>
      <xdr:spPr>
        <a:xfrm>
          <a:off x="145406" y="3665950"/>
          <a:ext cx="2110641" cy="3292029"/>
        </a:xfrm>
        <a:prstGeom prst="roundRect">
          <a:avLst>
            <a:gd name="adj" fmla="val 7492"/>
          </a:avLst>
        </a:prstGeom>
        <a:solidFill>
          <a:schemeClr val="bg1">
            <a:lumMod val="85000"/>
          </a:schemeClr>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xdr:col>
      <xdr:colOff>597647</xdr:colOff>
      <xdr:row>7</xdr:row>
      <xdr:rowOff>51838</xdr:rowOff>
    </xdr:from>
    <xdr:to>
      <xdr:col>19</xdr:col>
      <xdr:colOff>435785</xdr:colOff>
      <xdr:row>22</xdr:row>
      <xdr:rowOff>174314</xdr:rowOff>
    </xdr:to>
    <xdr:graphicFrame macro="">
      <xdr:nvGraphicFramePr>
        <xdr:cNvPr id="32" name="Chart 31">
          <a:extLst>
            <a:ext uri="{FF2B5EF4-FFF2-40B4-BE49-F238E27FC236}">
              <a16:creationId xmlns:a16="http://schemas.microsoft.com/office/drawing/2014/main" id="{00000000-0008-0000-03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38681</xdr:colOff>
      <xdr:row>1</xdr:row>
      <xdr:rowOff>104193</xdr:rowOff>
    </xdr:from>
    <xdr:to>
      <xdr:col>23</xdr:col>
      <xdr:colOff>205170</xdr:colOff>
      <xdr:row>6</xdr:row>
      <xdr:rowOff>51836</xdr:rowOff>
    </xdr:to>
    <mc:AlternateContent xmlns:mc="http://schemas.openxmlformats.org/markup-compatibility/2006" xmlns:a14="http://schemas.microsoft.com/office/drawing/2010/main">
      <mc:Choice Requires="a14">
        <xdr:graphicFrame macro="">
          <xdr:nvGraphicFramePr>
            <xdr:cNvPr id="33" name="Date (Month)">
              <a:extLst>
                <a:ext uri="{FF2B5EF4-FFF2-40B4-BE49-F238E27FC236}">
                  <a16:creationId xmlns:a16="http://schemas.microsoft.com/office/drawing/2014/main" id="{00000000-0008-0000-0300-000021000000}"/>
                </a:ext>
              </a:extLst>
            </xdr:cNvPr>
            <xdr:cNvGraphicFramePr/>
          </xdr:nvGraphicFramePr>
          <xdr:xfrm>
            <a:off x="0" y="0"/>
            <a:ext cx="0" cy="0"/>
          </xdr:xfrm>
          <a:graphic>
            <a:graphicData uri="http://schemas.microsoft.com/office/drawing/2010/slicer">
              <sle:slicer xmlns:sle="http://schemas.microsoft.com/office/drawing/2010/slicer" name="Date (Month)"/>
            </a:graphicData>
          </a:graphic>
        </xdr:graphicFrame>
      </mc:Choice>
      <mc:Fallback xmlns="">
        <xdr:sp macro="" textlink="">
          <xdr:nvSpPr>
            <xdr:cNvPr id="0" name=""/>
            <xdr:cNvSpPr>
              <a:spLocks noTextEdit="1"/>
            </xdr:cNvSpPr>
          </xdr:nvSpPr>
          <xdr:spPr>
            <a:xfrm>
              <a:off x="8082014" y="1237232"/>
              <a:ext cx="5265988" cy="918820"/>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260838</xdr:colOff>
      <xdr:row>14</xdr:row>
      <xdr:rowOff>174539</xdr:rowOff>
    </xdr:from>
    <xdr:to>
      <xdr:col>4</xdr:col>
      <xdr:colOff>92369</xdr:colOff>
      <xdr:row>31</xdr:row>
      <xdr:rowOff>0</xdr:rowOff>
    </xdr:to>
    <mc:AlternateContent xmlns:mc="http://schemas.openxmlformats.org/markup-compatibility/2006" xmlns:a14="http://schemas.microsoft.com/office/drawing/2010/main">
      <mc:Choice Requires="a14">
        <xdr:graphicFrame macro="">
          <xdr:nvGraphicFramePr>
            <xdr:cNvPr id="34" name="Caegorie">
              <a:extLst>
                <a:ext uri="{FF2B5EF4-FFF2-40B4-BE49-F238E27FC236}">
                  <a16:creationId xmlns:a16="http://schemas.microsoft.com/office/drawing/2014/main" id="{00000000-0008-0000-0300-000022000000}"/>
                </a:ext>
              </a:extLst>
            </xdr:cNvPr>
            <xdr:cNvGraphicFramePr/>
          </xdr:nvGraphicFramePr>
          <xdr:xfrm>
            <a:off x="0" y="0"/>
            <a:ext cx="0" cy="0"/>
          </xdr:xfrm>
          <a:graphic>
            <a:graphicData uri="http://schemas.microsoft.com/office/drawing/2010/slicer">
              <sle:slicer xmlns:sle="http://schemas.microsoft.com/office/drawing/2010/slicer" name="Caegorie"/>
            </a:graphicData>
          </a:graphic>
        </xdr:graphicFrame>
      </mc:Choice>
      <mc:Fallback xmlns="">
        <xdr:sp macro="" textlink="">
          <xdr:nvSpPr>
            <xdr:cNvPr id="0" name=""/>
            <xdr:cNvSpPr>
              <a:spLocks noTextEdit="1"/>
            </xdr:cNvSpPr>
          </xdr:nvSpPr>
          <xdr:spPr>
            <a:xfrm>
              <a:off x="260838" y="3772872"/>
              <a:ext cx="1861041" cy="3000461"/>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296348</xdr:colOff>
      <xdr:row>32</xdr:row>
      <xdr:rowOff>155615</xdr:rowOff>
    </xdr:from>
    <xdr:to>
      <xdr:col>4</xdr:col>
      <xdr:colOff>95741</xdr:colOff>
      <xdr:row>41</xdr:row>
      <xdr:rowOff>14062</xdr:rowOff>
    </xdr:to>
    <mc:AlternateContent xmlns:mc="http://schemas.openxmlformats.org/markup-compatibility/2006" xmlns:a14="http://schemas.microsoft.com/office/drawing/2010/main">
      <mc:Choice Requires="a14">
        <xdr:graphicFrame macro="">
          <xdr:nvGraphicFramePr>
            <xdr:cNvPr id="35" name="categorie 1">
              <a:extLst>
                <a:ext uri="{FF2B5EF4-FFF2-40B4-BE49-F238E27FC236}">
                  <a16:creationId xmlns:a16="http://schemas.microsoft.com/office/drawing/2014/main" id="{00000000-0008-0000-0300-000023000000}"/>
                </a:ext>
              </a:extLst>
            </xdr:cNvPr>
            <xdr:cNvGraphicFramePr/>
          </xdr:nvGraphicFramePr>
          <xdr:xfrm>
            <a:off x="0" y="0"/>
            <a:ext cx="0" cy="0"/>
          </xdr:xfrm>
          <a:graphic>
            <a:graphicData uri="http://schemas.microsoft.com/office/drawing/2010/slicer">
              <sle:slicer xmlns:sle="http://schemas.microsoft.com/office/drawing/2010/slicer" name="categorie 1"/>
            </a:graphicData>
          </a:graphic>
        </xdr:graphicFrame>
      </mc:Choice>
      <mc:Fallback xmlns="">
        <xdr:sp macro="" textlink="">
          <xdr:nvSpPr>
            <xdr:cNvPr id="0" name=""/>
            <xdr:cNvSpPr>
              <a:spLocks noTextEdit="1"/>
            </xdr:cNvSpPr>
          </xdr:nvSpPr>
          <xdr:spPr>
            <a:xfrm>
              <a:off x="296348" y="7115713"/>
              <a:ext cx="1828903" cy="1539329"/>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413676</xdr:colOff>
      <xdr:row>24</xdr:row>
      <xdr:rowOff>64796</xdr:rowOff>
    </xdr:from>
    <xdr:to>
      <xdr:col>19</xdr:col>
      <xdr:colOff>413677</xdr:colOff>
      <xdr:row>41</xdr:row>
      <xdr:rowOff>99608</xdr:rowOff>
    </xdr:to>
    <xdr:graphicFrame macro="">
      <xdr:nvGraphicFramePr>
        <xdr:cNvPr id="36" name="Chart 35">
          <a:extLst>
            <a:ext uri="{FF2B5EF4-FFF2-40B4-BE49-F238E27FC236}">
              <a16:creationId xmlns:a16="http://schemas.microsoft.com/office/drawing/2014/main" id="{00000000-0008-0000-03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315085</xdr:colOff>
      <xdr:row>7</xdr:row>
      <xdr:rowOff>76231</xdr:rowOff>
    </xdr:from>
    <xdr:to>
      <xdr:col>12</xdr:col>
      <xdr:colOff>460687</xdr:colOff>
      <xdr:row>22</xdr:row>
      <xdr:rowOff>174314</xdr:rowOff>
    </xdr:to>
    <xdr:graphicFrame macro="">
      <xdr:nvGraphicFramePr>
        <xdr:cNvPr id="37" name="Chart 36">
          <a:extLst>
            <a:ext uri="{FF2B5EF4-FFF2-40B4-BE49-F238E27FC236}">
              <a16:creationId xmlns:a16="http://schemas.microsoft.com/office/drawing/2014/main" id="{00000000-0008-0000-03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108052</xdr:colOff>
      <xdr:row>6</xdr:row>
      <xdr:rowOff>162127</xdr:rowOff>
    </xdr:from>
    <xdr:to>
      <xdr:col>4</xdr:col>
      <xdr:colOff>192097</xdr:colOff>
      <xdr:row>13</xdr:row>
      <xdr:rowOff>134841</xdr:rowOff>
    </xdr:to>
    <xdr:sp macro="" textlink="">
      <xdr:nvSpPr>
        <xdr:cNvPr id="38" name="Rectangle: Rounded Corners 37">
          <a:extLst>
            <a:ext uri="{FF2B5EF4-FFF2-40B4-BE49-F238E27FC236}">
              <a16:creationId xmlns:a16="http://schemas.microsoft.com/office/drawing/2014/main" id="{00000000-0008-0000-0300-000026000000}"/>
            </a:ext>
          </a:extLst>
        </xdr:cNvPr>
        <xdr:cNvSpPr/>
      </xdr:nvSpPr>
      <xdr:spPr>
        <a:xfrm>
          <a:off x="108052" y="2269787"/>
          <a:ext cx="2110641" cy="1296756"/>
        </a:xfrm>
        <a:prstGeom prst="roundRect">
          <a:avLst>
            <a:gd name="adj" fmla="val 7492"/>
          </a:avLst>
        </a:prstGeom>
        <a:solidFill>
          <a:schemeClr val="bg1">
            <a:lumMod val="85000"/>
          </a:schemeClr>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0</xdr:col>
      <xdr:colOff>256559</xdr:colOff>
      <xdr:row>7</xdr:row>
      <xdr:rowOff>14938</xdr:rowOff>
    </xdr:from>
    <xdr:to>
      <xdr:col>4</xdr:col>
      <xdr:colOff>55584</xdr:colOff>
      <xdr:row>13</xdr:row>
      <xdr:rowOff>35233</xdr:rowOff>
    </xdr:to>
    <mc:AlternateContent xmlns:mc="http://schemas.openxmlformats.org/markup-compatibility/2006" xmlns:a14="http://schemas.microsoft.com/office/drawing/2010/main">
      <mc:Choice Requires="a14">
        <xdr:graphicFrame macro="">
          <xdr:nvGraphicFramePr>
            <xdr:cNvPr id="39" name="Date (Year)">
              <a:extLst>
                <a:ext uri="{FF2B5EF4-FFF2-40B4-BE49-F238E27FC236}">
                  <a16:creationId xmlns:a16="http://schemas.microsoft.com/office/drawing/2014/main" id="{00000000-0008-0000-0300-000027000000}"/>
                </a:ext>
              </a:extLst>
            </xdr:cNvPr>
            <xdr:cNvGraphicFramePr/>
          </xdr:nvGraphicFramePr>
          <xdr:xfrm>
            <a:off x="0" y="0"/>
            <a:ext cx="0" cy="0"/>
          </xdr:xfrm>
          <a:graphic>
            <a:graphicData uri="http://schemas.microsoft.com/office/drawing/2010/slicer">
              <sle:slicer xmlns:sle="http://schemas.microsoft.com/office/drawing/2010/slicer" name="Date (Year)"/>
            </a:graphicData>
          </a:graphic>
        </xdr:graphicFrame>
      </mc:Choice>
      <mc:Fallback xmlns="">
        <xdr:sp macro="" textlink="">
          <xdr:nvSpPr>
            <xdr:cNvPr id="0" name=""/>
            <xdr:cNvSpPr>
              <a:spLocks noTextEdit="1"/>
            </xdr:cNvSpPr>
          </xdr:nvSpPr>
          <xdr:spPr>
            <a:xfrm>
              <a:off x="256559" y="2305918"/>
              <a:ext cx="1828535" cy="1140884"/>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283723</xdr:colOff>
      <xdr:row>0</xdr:row>
      <xdr:rowOff>0</xdr:rowOff>
    </xdr:from>
    <xdr:to>
      <xdr:col>2</xdr:col>
      <xdr:colOff>202659</xdr:colOff>
      <xdr:row>1</xdr:row>
      <xdr:rowOff>27021</xdr:rowOff>
    </xdr:to>
    <xdr:pic>
      <xdr:nvPicPr>
        <xdr:cNvPr id="41" name="Picture 40">
          <a:extLst>
            <a:ext uri="{FF2B5EF4-FFF2-40B4-BE49-F238E27FC236}">
              <a16:creationId xmlns:a16="http://schemas.microsoft.com/office/drawing/2014/main" id="{00000000-0008-0000-0300-000029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83723" y="0"/>
          <a:ext cx="1161915" cy="1161915"/>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25400</xdr:colOff>
          <xdr:row>38</xdr:row>
          <xdr:rowOff>114300</xdr:rowOff>
        </xdr:from>
        <xdr:to>
          <xdr:col>21</xdr:col>
          <xdr:colOff>1244600</xdr:colOff>
          <xdr:row>41</xdr:row>
          <xdr:rowOff>25400</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0300-000003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1" i="0" u="none" strike="noStrike" baseline="0">
                  <a:solidFill>
                    <a:srgbClr val="000000"/>
                  </a:solidFill>
                  <a:latin typeface="Aptos Narrow"/>
                </a:rPr>
                <a:t>NOUVELLE ENTRÉE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25400</xdr:colOff>
          <xdr:row>20</xdr:row>
          <xdr:rowOff>158750</xdr:rowOff>
        </xdr:from>
        <xdr:to>
          <xdr:col>21</xdr:col>
          <xdr:colOff>1270000</xdr:colOff>
          <xdr:row>23</xdr:row>
          <xdr:rowOff>12700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3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1" i="0" u="none" strike="noStrike" baseline="0">
                  <a:solidFill>
                    <a:srgbClr val="000000"/>
                  </a:solidFill>
                  <a:latin typeface="Aptos Narrow"/>
                </a:rPr>
                <a:t>NOUVELLE DEPENSE</a:t>
              </a:r>
            </a:p>
          </xdr:txBody>
        </xdr:sp>
        <xdr:clientData fPrintsWithSheet="0"/>
      </xdr:twoCellAnchor>
    </mc:Choice>
    <mc:Fallback/>
  </mc:AlternateContent>
  <xdr:twoCellAnchor>
    <xdr:from>
      <xdr:col>0</xdr:col>
      <xdr:colOff>0</xdr:colOff>
      <xdr:row>0</xdr:row>
      <xdr:rowOff>24901</xdr:rowOff>
    </xdr:from>
    <xdr:to>
      <xdr:col>23</xdr:col>
      <xdr:colOff>0</xdr:colOff>
      <xdr:row>1</xdr:row>
      <xdr:rowOff>37352</xdr:rowOff>
    </xdr:to>
    <xdr:grpSp>
      <xdr:nvGrpSpPr>
        <xdr:cNvPr id="5" name="Group 4">
          <a:extLst>
            <a:ext uri="{FF2B5EF4-FFF2-40B4-BE49-F238E27FC236}">
              <a16:creationId xmlns:a16="http://schemas.microsoft.com/office/drawing/2014/main" id="{EBC4951C-3D45-F14A-3AC1-FEA3BE80CB12}"/>
            </a:ext>
          </a:extLst>
        </xdr:cNvPr>
        <xdr:cNvGrpSpPr/>
      </xdr:nvGrpSpPr>
      <xdr:grpSpPr>
        <a:xfrm>
          <a:off x="0" y="26933"/>
          <a:ext cx="13187172" cy="1199139"/>
          <a:chOff x="37353" y="1469215"/>
          <a:chExt cx="11188038" cy="1145490"/>
        </a:xfrm>
      </xdr:grpSpPr>
      <xdr:sp macro="" textlink="">
        <xdr:nvSpPr>
          <xdr:cNvPr id="2" name="Rectangle 1">
            <a:extLst>
              <a:ext uri="{FF2B5EF4-FFF2-40B4-BE49-F238E27FC236}">
                <a16:creationId xmlns:a16="http://schemas.microsoft.com/office/drawing/2014/main" id="{B0BCC47D-ACB0-DFA2-9C8E-05EED11389A0}"/>
              </a:ext>
            </a:extLst>
          </xdr:cNvPr>
          <xdr:cNvSpPr/>
        </xdr:nvSpPr>
        <xdr:spPr>
          <a:xfrm>
            <a:off x="37353" y="1469215"/>
            <a:ext cx="11188038" cy="1145490"/>
          </a:xfrm>
          <a:prstGeom prst="rect">
            <a:avLst/>
          </a:prstGeom>
          <a:solidFill>
            <a:schemeClr val="tx1">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pic>
        <xdr:nvPicPr>
          <xdr:cNvPr id="3" name="Picture 2">
            <a:extLst>
              <a:ext uri="{FF2B5EF4-FFF2-40B4-BE49-F238E27FC236}">
                <a16:creationId xmlns:a16="http://schemas.microsoft.com/office/drawing/2014/main" id="{3A54F36F-287B-4617-B17B-EF8BCC54EDE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62371" y="1514540"/>
            <a:ext cx="1038369" cy="1034824"/>
          </a:xfrm>
          <a:prstGeom prst="rect">
            <a:avLst/>
          </a:prstGeom>
          <a:ln>
            <a:noFill/>
          </a:ln>
        </xdr:spPr>
      </xdr:pic>
      <xdr:sp macro="" textlink="">
        <xdr:nvSpPr>
          <xdr:cNvPr id="4" name="TextBox 3">
            <a:extLst>
              <a:ext uri="{FF2B5EF4-FFF2-40B4-BE49-F238E27FC236}">
                <a16:creationId xmlns:a16="http://schemas.microsoft.com/office/drawing/2014/main" id="{B4BAEBFF-4885-CF46-F70C-F8F638AA6174}"/>
              </a:ext>
            </a:extLst>
          </xdr:cNvPr>
          <xdr:cNvSpPr txBox="1"/>
        </xdr:nvSpPr>
        <xdr:spPr>
          <a:xfrm>
            <a:off x="1931190" y="1581276"/>
            <a:ext cx="7732059" cy="8964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4800" b="1">
                <a:solidFill>
                  <a:srgbClr val="FF9900"/>
                </a:solidFill>
                <a:latin typeface="Agency FB" panose="020B0503020202020204" pitchFamily="34" charset="0"/>
              </a:rPr>
              <a:t>Personal Finance Dashboard</a:t>
            </a:r>
          </a:p>
        </xdr:txBody>
      </xdr:sp>
    </xdr:grpSp>
    <xdr:clientData/>
  </xdr:twoCellAnchor>
  <mc:AlternateContent xmlns:mc="http://schemas.openxmlformats.org/markup-compatibility/2006">
    <mc:Choice xmlns:a14="http://schemas.microsoft.com/office/drawing/2010/main" Requires="a14">
      <xdr:twoCellAnchor>
        <xdr:from>
          <xdr:col>19</xdr:col>
          <xdr:colOff>398432</xdr:colOff>
          <xdr:row>0</xdr:row>
          <xdr:rowOff>239806</xdr:rowOff>
        </xdr:from>
        <xdr:to>
          <xdr:col>21</xdr:col>
          <xdr:colOff>1050863</xdr:colOff>
          <xdr:row>0</xdr:row>
          <xdr:rowOff>908922</xdr:rowOff>
        </xdr:to>
        <xdr:sp macro="" textlink="">
          <xdr:nvSpPr>
            <xdr:cNvPr id="8198" name="Button 6" hidden="1">
              <a:extLst>
                <a:ext uri="{63B3BB69-23CF-44E3-9099-C40C66FF867C}">
                  <a14:compatExt spid="_x0000_s8198"/>
                </a:ext>
                <a:ext uri="{FF2B5EF4-FFF2-40B4-BE49-F238E27FC236}">
                  <a16:creationId xmlns:a16="http://schemas.microsoft.com/office/drawing/2014/main" id="{AA37A24D-659D-4FCC-7ADD-ED42948C4CF3}"/>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fr-FR" sz="1800" b="0" i="0" u="none" strike="noStrike" baseline="0">
                  <a:solidFill>
                    <a:srgbClr val="000000"/>
                  </a:solidFill>
                  <a:latin typeface="Agency FB"/>
                </a:rPr>
                <a:t>RAFRAICHIR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pc\Desktop\INGENIEUR_CENTRALIEN\DATA_ANALYST\CODE_BASICS_BootCamp\EXCEL\Assignments\Exercice1\my_finances_Actuals.xlsx" TargetMode="External"/><Relationship Id="rId1" Type="http://schemas.openxmlformats.org/officeDocument/2006/relationships/externalLinkPath" Target="/Users/pc/Desktop/INGENIEUR_CENTRALIEN/DATA_ANALYST/CODE_BASICS_BootCamp/EXCEL/Assignments/Exercice1/my_finances_Actual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umé"/>
      <sheetName val="monResume"/>
      <sheetName val="Entrees"/>
      <sheetName val="Depenses"/>
      <sheetName val="Epargne"/>
      <sheetName val="charts"/>
    </sheetNames>
    <sheetDataSet>
      <sheetData sheetId="0"/>
      <sheetData sheetId="1"/>
      <sheetData sheetId="2"/>
      <sheetData sheetId="3"/>
      <sheetData sheetId="4"/>
      <sheetData sheetId="5"/>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Users/pc/Desktop/INGENIEUR_CENTRALIEN/DATA_ANALYST/CODE_BASICS_BootCamp/EXCEL/Assignments/Exercice1/My_Finances_With_VBA%20(version%202).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c" refreshedDate="45481.563198611111" createdVersion="8" refreshedVersion="8" minRefreshableVersion="3" recordCount="5" xr:uid="{55ABD357-AD68-44F7-81E8-E47F3DACA06E}">
  <cacheSource type="worksheet">
    <worksheetSource ref="K8:L13" sheet="Depenses" r:id="rId2"/>
  </cacheSource>
  <cacheFields count="2">
    <cacheField name="Category" numFmtId="0">
      <sharedItems count="5">
        <s v="Transport"/>
        <s v="Internet"/>
        <s v="Dime"/>
        <s v="Nourriture"/>
        <s v="Offrande"/>
      </sharedItems>
    </cacheField>
    <cacheField name="Amount" numFmtId="0">
      <sharedItems containsSemiMixedTypes="0" containsString="0" containsNumber="1" minValue="10" maxValue="268.89999999999998"/>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c" refreshedDate="45481.563264467593" createdVersion="8" refreshedVersion="8" minRefreshableVersion="3" recordCount="47" xr:uid="{0F7F6F0F-1884-473C-8ADD-98FA221B1BFD}">
  <cacheSource type="worksheet">
    <worksheetSource name="mesdepenses"/>
  </cacheSource>
  <cacheFields count="5">
    <cacheField name="Date" numFmtId="16">
      <sharedItems containsNonDate="0" containsDate="1" containsString="0" containsBlank="1" minDate="2024-06-06T00:00:00" maxDate="2024-07-08T00:00:00"/>
    </cacheField>
    <cacheField name="Caegorie" numFmtId="0">
      <sharedItems containsBlank="1" count="7">
        <s v="Transport"/>
        <s v="Internet"/>
        <s v="Dime"/>
        <s v="Nourriture"/>
        <s v="Offrande"/>
        <s v="Accessoire"/>
        <m/>
      </sharedItems>
    </cacheField>
    <cacheField name="Description" numFmtId="0">
      <sharedItems containsBlank="1"/>
    </cacheField>
    <cacheField name="montant" numFmtId="0">
      <sharedItems containsString="0" containsBlank="1" containsNumber="1" minValue="3" maxValue="100"/>
    </cacheField>
    <cacheField name="montant_CFA" numFmtId="0">
      <sharedItems containsSemiMixedTypes="0" containsString="0" containsNumber="1" containsInteger="1" minValue="0" maxValue="600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c" refreshedDate="45504.69508784722" createdVersion="8" refreshedVersion="8" minRefreshableVersion="3" recordCount="54" xr:uid="{64B94CB0-88B5-4953-B6F8-37890EF35E61}">
  <cacheSource type="worksheet">
    <worksheetSource name="revenuXYZ"/>
  </cacheSource>
  <cacheFields count="8">
    <cacheField name="Date" numFmtId="16">
      <sharedItems containsSemiMixedTypes="0" containsNonDate="0" containsDate="1" containsString="0" minDate="2024-01-01T00:00:00" maxDate="2024-12-12T00:00:00"/>
    </cacheField>
    <cacheField name="mois" numFmtId="1">
      <sharedItems containsSemiMixedTypes="0" containsString="0" containsNumber="1" containsInteger="1" minValue="1" maxValue="12" count="12">
        <n v="1"/>
        <n v="2"/>
        <n v="3"/>
        <n v="4"/>
        <n v="5"/>
        <n v="6"/>
        <n v="7"/>
        <n v="10"/>
        <n v="9"/>
        <n v="12"/>
        <n v="8"/>
        <n v="11"/>
      </sharedItems>
    </cacheField>
    <cacheField name="categorie" numFmtId="0">
      <sharedItems/>
    </cacheField>
    <cacheField name="Description" numFmtId="0">
      <sharedItems containsBlank="1"/>
    </cacheField>
    <cacheField name="montant" numFmtId="0">
      <sharedItems containsSemiMixedTypes="0" containsString="0" containsNumber="1" containsInteger="1" minValue="2" maxValue="14000"/>
    </cacheField>
    <cacheField name="montant_CFA" numFmtId="0">
      <sharedItems containsString="0" containsBlank="1" containsNumber="1" minValue="120" maxValue="840000"/>
    </cacheField>
    <cacheField name="source" numFmtId="0">
      <sharedItems/>
    </cacheField>
    <cacheField name="ID" numFmtId="0">
      <sharedItems containsSemiMixedTypes="0" containsString="0" containsNumber="1" containsInteger="1" minValue="1" maxValue="54"/>
    </cacheField>
  </cacheFields>
  <extLst>
    <ext xmlns:x14="http://schemas.microsoft.com/office/spreadsheetml/2009/9/main" uri="{725AE2AE-9491-48be-B2B4-4EB974FC3084}">
      <x14:pivotCacheDefinition pivotCacheId="955928455"/>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504.703324305556" backgroundQuery="1" createdVersion="8" refreshedVersion="8" minRefreshableVersion="3" recordCount="0" supportSubquery="1" supportAdvancedDrill="1" xr:uid="{523C9E48-0234-42FC-8AB8-E883833F387D}">
  <cacheSource type="external" connectionId="1"/>
  <cacheFields count="5">
    <cacheField name="[depense].[Caegorie].[Caegorie]" caption="Caegorie" numFmtId="0" hierarchy="10" level="1">
      <sharedItems count="12">
        <s v="Accessoires"/>
        <s v="Autre"/>
        <s v="Bus/taxi/train/avion"/>
        <s v="Eau"/>
        <s v="Electricite"/>
        <s v="Internet &amp; Phone"/>
        <s v="Loyer"/>
        <s v="Carburant" u="1"/>
        <s v="Gaz" u="1"/>
        <s v="maintenance" u="1"/>
        <s v="Nourriture externe" u="1"/>
        <s v="Nourriture interne" u="1"/>
      </sharedItems>
    </cacheField>
    <cacheField name="[Measures].[Sum of montant 2]" caption="Sum of montant 2" numFmtId="0" hierarchy="92" level="32767"/>
    <cacheField name="[Date].[Date (Year)].[Date (Year)]" caption="Date (Year)" numFmtId="0" hierarchy="1" level="1">
      <sharedItems containsSemiMixedTypes="0" containsNonDate="0" containsString="0"/>
    </cacheField>
    <cacheField name="[Date].[Date (Month)].[Date (Month)]" caption="Date (Month)" numFmtId="0" hierarchy="3" level="1">
      <sharedItems containsSemiMixedTypes="0" containsNonDate="0" containsString="0"/>
    </cacheField>
    <cacheField name="[revenuXYZ].[categorie].[categorie]" caption="categorie" numFmtId="0" hierarchy="70" level="1">
      <sharedItems containsSemiMixedTypes="0" containsNonDate="0" containsString="0"/>
    </cacheField>
  </cacheFields>
  <cacheHierarchies count="113">
    <cacheHierarchy uniqueName="[Date].[Date]" caption="Date" attribute="1" time="1" defaultMemberUniqueName="[Date].[Date].[All]" allUniqueName="[Date].[Date].[All]" dimensionUniqueName="[Date]" displayFolder="" count="0" memberValueDatatype="7" unbalanced="0"/>
    <cacheHierarchy uniqueName="[Date].[Date (Year)]" caption="Date (Year)" attribute="1" defaultMemberUniqueName="[Date].[Date (Year)].[All]" allUniqueName="[Date].[Date (Year)].[All]" dimensionUniqueName="[Date]" displayFolder="" count="2" memberValueDatatype="130" unbalanced="0">
      <fieldsUsage count="2">
        <fieldUsage x="-1"/>
        <fieldUsage x="2"/>
      </fieldsUsage>
    </cacheHierarchy>
    <cacheHierarchy uniqueName="[Date].[Date (Quarter)]" caption="Date (Quarter)" attribute="1" defaultMemberUniqueName="[Date].[Date (Quarter)].[All]" allUniqueName="[Date].[Date (Quarter)].[All]" dimensionUniqueName="[Date]" displayFolder="" count="0" memberValueDatatype="130" unbalanced="0"/>
    <cacheHierarchy uniqueName="[Date].[Date (Month)]" caption="Date (Month)" attribute="1" defaultMemberUniqueName="[Date].[Date (Month)].[All]" allUniqueName="[Date].[Date (Month)].[All]" dimensionUniqueName="[Date]" displayFolder="" count="2" memberValueDatatype="130" unbalanced="0">
      <fieldsUsage count="2">
        <fieldUsage x="-1"/>
        <fieldUsage x="3"/>
      </fieldsUsage>
    </cacheHierarchy>
    <cacheHierarchy uniqueName="[Date].[week]" caption="week" attribute="1" defaultMemberUniqueName="[Date].[week].[All]" allUniqueName="[Date].[week].[All]" dimensionUniqueName="[Date]" displayFolder="" count="0" memberValueDatatype="130" unbalanced="0"/>
    <cacheHierarchy uniqueName="[Date].[Mois]" caption="Mois" attribute="1" defaultMemberUniqueName="[Date].[Mois].[All]" allUniqueName="[Date].[Mois].[All]" dimensionUniqueName="[Date]" displayFolder="" count="0" memberValueDatatype="20" unbalanced="0"/>
    <cacheHierarchy uniqueName="[Date].[Nun_Month]" caption="Nun_Month" attribute="1" defaultMemberUniqueName="[Date].[Nun_Month].[All]" allUniqueName="[Date].[Nun_Month].[All]" dimensionUniqueName="[Date]" displayFolder="" count="0" memberValueDatatype="130" unbalanced="0"/>
    <cacheHierarchy uniqueName="[depense].[Date]" caption="Date" attribute="1" time="1" defaultMemberUniqueName="[depense].[Date].[All]" allUniqueName="[depense].[Date].[All]" dimensionUniqueName="[depense]" displayFolder="" count="0" memberValueDatatype="7" unbalanced="0"/>
    <cacheHierarchy uniqueName="[depense].[mois]" caption="mois" attribute="1" defaultMemberUniqueName="[depense].[mois].[All]" allUniqueName="[depense].[mois].[All]" dimensionUniqueName="[depense]" displayFolder="" count="0" memberValueDatatype="20" unbalanced="0"/>
    <cacheHierarchy uniqueName="[depense].[source]" caption="source" attribute="1" defaultMemberUniqueName="[depense].[source].[All]" allUniqueName="[depense].[source].[All]" dimensionUniqueName="[depense]" displayFolder="" count="0" memberValueDatatype="130" unbalanced="0"/>
    <cacheHierarchy uniqueName="[depense].[Caegorie]" caption="Caegorie" attribute="1" defaultMemberUniqueName="[depense].[Caegorie].[All]" allUniqueName="[depense].[Caegorie].[All]" dimensionUniqueName="[depense]" displayFolder="" count="2" memberValueDatatype="130" unbalanced="0">
      <fieldsUsage count="2">
        <fieldUsage x="-1"/>
        <fieldUsage x="0"/>
      </fieldsUsage>
    </cacheHierarchy>
    <cacheHierarchy uniqueName="[depense].[Description]" caption="Description" attribute="1" defaultMemberUniqueName="[depense].[Description].[All]" allUniqueName="[depense].[Description].[All]" dimensionUniqueName="[depense]" displayFolder="" count="0" memberValueDatatype="130" unbalanced="0"/>
    <cacheHierarchy uniqueName="[depense].[montant]" caption="montant" attribute="1" defaultMemberUniqueName="[depense].[montant].[All]" allUniqueName="[depense].[montant].[All]" dimensionUniqueName="[depense]" displayFolder="" count="0" memberValueDatatype="20" unbalanced="0"/>
    <cacheHierarchy uniqueName="[depense].[montant_CFA]" caption="montant_CFA" attribute="1" defaultMemberUniqueName="[depense].[montant_CFA].[All]" allUniqueName="[depense].[montant_CFA].[All]" dimensionUniqueName="[depense]" displayFolder="" count="0" memberValueDatatype="20" unbalanced="0"/>
    <cacheHierarchy uniqueName="[depense].[ID]" caption="ID" attribute="1" defaultMemberUniqueName="[depense].[ID].[All]" allUniqueName="[depense].[ID].[All]" dimensionUniqueName="[depense]" displayFolder="" count="0" memberValueDatatype="20" unbalanced="0"/>
    <cacheHierarchy uniqueName="[dime].[Date]" caption="Date" attribute="1" time="1" defaultMemberUniqueName="[dime].[Date].[All]" allUniqueName="[dime].[Date].[All]" dimensionUniqueName="[dime]" displayFolder="" count="0" memberValueDatatype="7" unbalanced="0"/>
    <cacheHierarchy uniqueName="[dime].[ID_revenue]" caption="ID_revenue" attribute="1" defaultMemberUniqueName="[dime].[ID_revenue].[All]" allUniqueName="[dime].[ID_revenue].[All]" dimensionUniqueName="[dime]" displayFolder="" count="0" memberValueDatatype="20" unbalanced="0"/>
    <cacheHierarchy uniqueName="[dime].[Description]" caption="Description" attribute="1" defaultMemberUniqueName="[dime].[Description].[All]" allUniqueName="[dime].[Description].[All]" dimensionUniqueName="[dime]" displayFolder="" count="0" memberValueDatatype="130" unbalanced="0"/>
    <cacheHierarchy uniqueName="[dime].[source]" caption="source" attribute="1" defaultMemberUniqueName="[dime].[source].[All]" allUniqueName="[dime].[source].[All]" dimensionUniqueName="[dime]" displayFolder="" count="0" memberValueDatatype="130" unbalanced="0"/>
    <cacheHierarchy uniqueName="[dime].[montant]" caption="montant" attribute="1" defaultMemberUniqueName="[dime].[montant].[All]" allUniqueName="[dime].[montant].[All]" dimensionUniqueName="[dime]" displayFolder="" count="0" memberValueDatatype="5" unbalanced="0"/>
    <cacheHierarchy uniqueName="[Epargne].[ID]" caption="ID" attribute="1" defaultMemberUniqueName="[Epargne].[ID].[All]" allUniqueName="[Epargne].[ID].[All]" dimensionUniqueName="[Epargne]" displayFolder="" count="0" memberValueDatatype="20" unbalanced="0"/>
    <cacheHierarchy uniqueName="[Epargne].[date]" caption="date" attribute="1" time="1" defaultMemberUniqueName="[Epargne].[date].[All]" allUniqueName="[Epargne].[date].[All]" dimensionUniqueName="[Epargne]" displayFolder="" count="0" memberValueDatatype="7" unbalanced="0"/>
    <cacheHierarchy uniqueName="[Epargne].[source]" caption="source" attribute="1" defaultMemberUniqueName="[Epargne].[source].[All]" allUniqueName="[Epargne].[source].[All]" dimensionUniqueName="[Epargne]" displayFolder="" count="0" memberValueDatatype="130" unbalanced="0"/>
    <cacheHierarchy uniqueName="[Epargne].[Description]" caption="Description" attribute="1" defaultMemberUniqueName="[Epargne].[Description].[All]" allUniqueName="[Epargne].[Description].[All]" dimensionUniqueName="[Epargne]" displayFolder="" count="0" memberValueDatatype="130" unbalanced="0"/>
    <cacheHierarchy uniqueName="[Epargne].[montant]" caption="montant" attribute="1" defaultMemberUniqueName="[Epargne].[montant].[All]" allUniqueName="[Epargne].[montant].[All]" dimensionUniqueName="[Epargne]" displayFolder="" count="0" memberValueDatatype="5" unbalanced="0"/>
    <cacheHierarchy uniqueName="[Epargne].[montant_CFA]" caption="montant_CFA" attribute="1" defaultMemberUniqueName="[Epargne].[montant_CFA].[All]" allUniqueName="[Epargne].[montant_CFA].[All]" dimensionUniqueName="[Epargne]" displayFolder="" count="0" memberValueDatatype="5" unbalanced="0"/>
    <cacheHierarchy uniqueName="[maison].[Colonne1]" caption="Colonne1" attribute="1" defaultMemberUniqueName="[maison].[Colonne1].[All]" allUniqueName="[maison].[Colonne1].[All]" dimensionUniqueName="[maison]" displayFolder="" count="0" memberValueDatatype="130" unbalanced="0"/>
    <cacheHierarchy uniqueName="[maison].[Colonne2]" caption="Colonne2" attribute="1" defaultMemberUniqueName="[maison].[Colonne2].[All]" allUniqueName="[maison].[Colonne2].[All]" dimensionUniqueName="[maison]" displayFolder="" count="0" memberValueDatatype="20" unbalanced="0"/>
    <cacheHierarchy uniqueName="[maison].[Colonne3]" caption="Colonne3" attribute="1" defaultMemberUniqueName="[maison].[Colonne3].[All]" allUniqueName="[maison].[Colonne3].[All]" dimensionUniqueName="[maison]" displayFolder="" count="0" memberValueDatatype="20" unbalanced="0"/>
    <cacheHierarchy uniqueName="[maison].[Colonne4]" caption="Colonne4" attribute="1" defaultMemberUniqueName="[maison].[Colonne4].[All]" allUniqueName="[maison].[Colonne4].[All]" dimensionUniqueName="[maison]" displayFolder="" count="0" memberValueDatatype="20" unbalanced="0"/>
    <cacheHierarchy uniqueName="[maison].[Colonne5]" caption="Colonne5" attribute="1" defaultMemberUniqueName="[maison].[Colonne5].[All]" allUniqueName="[maison].[Colonne5].[All]" dimensionUniqueName="[maison]" displayFolder="" count="0" memberValueDatatype="20" unbalanced="0"/>
    <cacheHierarchy uniqueName="[maison].[Colonne6]" caption="Colonne6" attribute="1" defaultMemberUniqueName="[maison].[Colonne6].[All]" allUniqueName="[maison].[Colonne6].[All]" dimensionUniqueName="[maison]" displayFolder="" count="0" memberValueDatatype="20" unbalanced="0"/>
    <cacheHierarchy uniqueName="[maison].[Colonne7]" caption="Colonne7" attribute="1" defaultMemberUniqueName="[maison].[Colonne7].[All]" allUniqueName="[maison].[Colonne7].[All]" dimensionUniqueName="[maison]" displayFolder="" count="0" memberValueDatatype="20" unbalanced="0"/>
    <cacheHierarchy uniqueName="[maison].[Colonne8]" caption="Colonne8" attribute="1" defaultMemberUniqueName="[maison].[Colonne8].[All]" allUniqueName="[maison].[Colonne8].[All]" dimensionUniqueName="[maison]" displayFolder="" count="0" memberValueDatatype="20" unbalanced="0"/>
    <cacheHierarchy uniqueName="[maison].[Colonne9]" caption="Colonne9" attribute="1" defaultMemberUniqueName="[maison].[Colonne9].[All]" allUniqueName="[maison].[Colonne9].[All]" dimensionUniqueName="[maison]" displayFolder="" count="0" memberValueDatatype="20" unbalanced="0"/>
    <cacheHierarchy uniqueName="[maison].[Colonne10]" caption="Colonne10" attribute="1" defaultMemberUniqueName="[maison].[Colonne10].[All]" allUniqueName="[maison].[Colonne10].[All]" dimensionUniqueName="[maison]" displayFolder="" count="0" memberValueDatatype="20" unbalanced="0"/>
    <cacheHierarchy uniqueName="[maison].[Colonne11]" caption="Colonne11" attribute="1" defaultMemberUniqueName="[maison].[Colonne11].[All]" allUniqueName="[maison].[Colonne11].[All]" dimensionUniqueName="[maison]" displayFolder="" count="0" memberValueDatatype="20" unbalanced="0"/>
    <cacheHierarchy uniqueName="[maison].[Colonne12]" caption="Colonne12" attribute="1" defaultMemberUniqueName="[maison].[Colonne12].[All]" allUniqueName="[maison].[Colonne12].[All]" dimensionUniqueName="[maison]" displayFolder="" count="0" memberValueDatatype="20" unbalanced="0"/>
    <cacheHierarchy uniqueName="[maison].[Colonne13]" caption="Colonne13" attribute="1" defaultMemberUniqueName="[maison].[Colonne13].[All]" allUniqueName="[maison].[Colonne13].[All]" dimensionUniqueName="[maison]" displayFolder="" count="0" memberValueDatatype="20" unbalanced="0"/>
    <cacheHierarchy uniqueName="[maison].[Colonne14]" caption="Colonne14" attribute="1" defaultMemberUniqueName="[maison].[Colonne14].[All]" allUniqueName="[maison].[Colonne14].[All]" dimensionUniqueName="[maison]" displayFolder="" count="0" memberValueDatatype="20" unbalanced="0"/>
    <cacheHierarchy uniqueName="[nourriture].[Colonne1]" caption="Colonne1" attribute="1" defaultMemberUniqueName="[nourriture].[Colonne1].[All]" allUniqueName="[nourriture].[Colonne1].[All]" dimensionUniqueName="[nourriture]" displayFolder="" count="0" memberValueDatatype="130" unbalanced="0"/>
    <cacheHierarchy uniqueName="[nourriture].[Colonne2]" caption="Colonne2" attribute="1" defaultMemberUniqueName="[nourriture].[Colonne2].[All]" allUniqueName="[nourriture].[Colonne2].[All]" dimensionUniqueName="[nourriture]" displayFolder="" count="0" memberValueDatatype="20" unbalanced="0"/>
    <cacheHierarchy uniqueName="[nourriture].[Colonne3]" caption="Colonne3" attribute="1" defaultMemberUniqueName="[nourriture].[Colonne3].[All]" allUniqueName="[nourriture].[Colonne3].[All]" dimensionUniqueName="[nourriture]" displayFolder="" count="0" memberValueDatatype="20" unbalanced="0"/>
    <cacheHierarchy uniqueName="[nourriture].[Colonne4]" caption="Colonne4" attribute="1" defaultMemberUniqueName="[nourriture].[Colonne4].[All]" allUniqueName="[nourriture].[Colonne4].[All]" dimensionUniqueName="[nourriture]" displayFolder="" count="0" memberValueDatatype="20" unbalanced="0"/>
    <cacheHierarchy uniqueName="[nourriture].[Colonne5]" caption="Colonne5" attribute="1" defaultMemberUniqueName="[nourriture].[Colonne5].[All]" allUniqueName="[nourriture].[Colonne5].[All]" dimensionUniqueName="[nourriture]" displayFolder="" count="0" memberValueDatatype="20" unbalanced="0"/>
    <cacheHierarchy uniqueName="[nourriture].[Colonne6]" caption="Colonne6" attribute="1" defaultMemberUniqueName="[nourriture].[Colonne6].[All]" allUniqueName="[nourriture].[Colonne6].[All]" dimensionUniqueName="[nourriture]" displayFolder="" count="0" memberValueDatatype="20" unbalanced="0"/>
    <cacheHierarchy uniqueName="[nourriture].[Colonne7]" caption="Colonne7" attribute="1" defaultMemberUniqueName="[nourriture].[Colonne7].[All]" allUniqueName="[nourriture].[Colonne7].[All]" dimensionUniqueName="[nourriture]" displayFolder="" count="0" memberValueDatatype="20" unbalanced="0"/>
    <cacheHierarchy uniqueName="[nourriture].[Colonne8]" caption="Colonne8" attribute="1" defaultMemberUniqueName="[nourriture].[Colonne8].[All]" allUniqueName="[nourriture].[Colonne8].[All]" dimensionUniqueName="[nourriture]" displayFolder="" count="0" memberValueDatatype="20" unbalanced="0"/>
    <cacheHierarchy uniqueName="[nourriture].[Colonne9]" caption="Colonne9" attribute="1" defaultMemberUniqueName="[nourriture].[Colonne9].[All]" allUniqueName="[nourriture].[Colonne9].[All]" dimensionUniqueName="[nourriture]" displayFolder="" count="0" memberValueDatatype="20" unbalanced="0"/>
    <cacheHierarchy uniqueName="[nourriture].[Colonne10]" caption="Colonne10" attribute="1" defaultMemberUniqueName="[nourriture].[Colonne10].[All]" allUniqueName="[nourriture].[Colonne10].[All]" dimensionUniqueName="[nourriture]" displayFolder="" count="0" memberValueDatatype="20" unbalanced="0"/>
    <cacheHierarchy uniqueName="[nourriture].[Colonne11]" caption="Colonne11" attribute="1" defaultMemberUniqueName="[nourriture].[Colonne11].[All]" allUniqueName="[nourriture].[Colonne11].[All]" dimensionUniqueName="[nourriture]" displayFolder="" count="0" memberValueDatatype="20" unbalanced="0"/>
    <cacheHierarchy uniqueName="[nourriture].[Colonne12]" caption="Colonne12" attribute="1" defaultMemberUniqueName="[nourriture].[Colonne12].[All]" allUniqueName="[nourriture].[Colonne12].[All]" dimensionUniqueName="[nourriture]" displayFolder="" count="0" memberValueDatatype="20" unbalanced="0"/>
    <cacheHierarchy uniqueName="[nourriture].[Colonne13]" caption="Colonne13" attribute="1" defaultMemberUniqueName="[nourriture].[Colonne13].[All]" allUniqueName="[nourriture].[Colonne13].[All]" dimensionUniqueName="[nourriture]" displayFolder="" count="0" memberValueDatatype="20" unbalanced="0"/>
    <cacheHierarchy uniqueName="[nourriture].[Colonne14]" caption="Colonne14" attribute="1" defaultMemberUniqueName="[nourriture].[Colonne14].[All]" allUniqueName="[nourriture].[Colonne14].[All]" dimensionUniqueName="[nourriture]" displayFolder="" count="0" memberValueDatatype="20" unbalanced="0"/>
    <cacheHierarchy uniqueName="[revenue].[Elements]" caption="Elements" attribute="1" defaultMemberUniqueName="[revenue].[Elements].[All]" allUniqueName="[revenue].[Elements].[All]" dimensionUniqueName="[revenue]" displayFolder="" count="0" memberValueDatatype="130" unbalanced="0"/>
    <cacheHierarchy uniqueName="[revenue].[Janv.]" caption="Janv." attribute="1" defaultMemberUniqueName="[revenue].[Janv.].[All]" allUniqueName="[revenue].[Janv.].[All]" dimensionUniqueName="[revenue]" displayFolder="" count="0" memberValueDatatype="20" unbalanced="0"/>
    <cacheHierarchy uniqueName="[revenue].[Fev.]" caption="Fev." attribute="1" defaultMemberUniqueName="[revenue].[Fev.].[All]" allUniqueName="[revenue].[Fev.].[All]" dimensionUniqueName="[revenue]" displayFolder="" count="0" memberValueDatatype="20" unbalanced="0"/>
    <cacheHierarchy uniqueName="[revenue].[Mars.]" caption="Mars." attribute="1" defaultMemberUniqueName="[revenue].[Mars.].[All]" allUniqueName="[revenue].[Mars.].[All]" dimensionUniqueName="[revenue]" displayFolder="" count="0" memberValueDatatype="20" unbalanced="0"/>
    <cacheHierarchy uniqueName="[revenue].[Avril]" caption="Avril" attribute="1" defaultMemberUniqueName="[revenue].[Avril].[All]" allUniqueName="[revenue].[Avril].[All]" dimensionUniqueName="[revenue]" displayFolder="" count="0" memberValueDatatype="20" unbalanced="0"/>
    <cacheHierarchy uniqueName="[revenue].[Mai]" caption="Mai" attribute="1" defaultMemberUniqueName="[revenue].[Mai].[All]" allUniqueName="[revenue].[Mai].[All]" dimensionUniqueName="[revenue]" displayFolder="" count="0" memberValueDatatype="20" unbalanced="0"/>
    <cacheHierarchy uniqueName="[revenue].[Juin]" caption="Juin" attribute="1" defaultMemberUniqueName="[revenue].[Juin].[All]" allUniqueName="[revenue].[Juin].[All]" dimensionUniqueName="[revenue]" displayFolder="" count="0" memberValueDatatype="20" unbalanced="0"/>
    <cacheHierarchy uniqueName="[revenue].[Juillet]" caption="Juillet" attribute="1" defaultMemberUniqueName="[revenue].[Juillet].[All]" allUniqueName="[revenue].[Juillet].[All]" dimensionUniqueName="[revenue]" displayFolder="" count="0" memberValueDatatype="20" unbalanced="0"/>
    <cacheHierarchy uniqueName="[revenue].[Aout]" caption="Aout" attribute="1" defaultMemberUniqueName="[revenue].[Aout].[All]" allUniqueName="[revenue].[Aout].[All]" dimensionUniqueName="[revenue]" displayFolder="" count="0" memberValueDatatype="20" unbalanced="0"/>
    <cacheHierarchy uniqueName="[revenue].[Sept.]" caption="Sept." attribute="1" defaultMemberUniqueName="[revenue].[Sept.].[All]" allUniqueName="[revenue].[Sept.].[All]" dimensionUniqueName="[revenue]" displayFolder="" count="0" memberValueDatatype="20" unbalanced="0"/>
    <cacheHierarchy uniqueName="[revenue].[Oct.]" caption="Oct." attribute="1" defaultMemberUniqueName="[revenue].[Oct.].[All]" allUniqueName="[revenue].[Oct.].[All]" dimensionUniqueName="[revenue]" displayFolder="" count="0" memberValueDatatype="20" unbalanced="0"/>
    <cacheHierarchy uniqueName="[revenue].[Nov.]" caption="Nov." attribute="1" defaultMemberUniqueName="[revenue].[Nov.].[All]" allUniqueName="[revenue].[Nov.].[All]" dimensionUniqueName="[revenue]" displayFolder="" count="0" memberValueDatatype="20" unbalanced="0"/>
    <cacheHierarchy uniqueName="[revenue].[Dec]" caption="Dec" attribute="1" defaultMemberUniqueName="[revenue].[Dec].[All]" allUniqueName="[revenue].[Dec].[All]" dimensionUniqueName="[revenue]" displayFolder="" count="0" memberValueDatatype="20" unbalanced="0"/>
    <cacheHierarchy uniqueName="[revenue].[Year to Date]" caption="Year to Date" attribute="1" defaultMemberUniqueName="[revenue].[Year to Date].[All]" allUniqueName="[revenue].[Year to Date].[All]" dimensionUniqueName="[revenue]" displayFolder="" count="0" memberValueDatatype="20" unbalanced="0"/>
    <cacheHierarchy uniqueName="[revenuXYZ].[Date]" caption="Date" attribute="1" time="1" defaultMemberUniqueName="[revenuXYZ].[Date].[All]" allUniqueName="[revenuXYZ].[Date].[All]" dimensionUniqueName="[revenuXYZ]" displayFolder="" count="0" memberValueDatatype="7" unbalanced="0"/>
    <cacheHierarchy uniqueName="[revenuXYZ].[mois]" caption="mois" attribute="1" defaultMemberUniqueName="[revenuXYZ].[mois].[All]" allUniqueName="[revenuXYZ].[mois].[All]" dimensionUniqueName="[revenuXYZ]" displayFolder="" count="0" memberValueDatatype="20" unbalanced="0"/>
    <cacheHierarchy uniqueName="[revenuXYZ].[categorie]" caption="categorie" attribute="1" defaultMemberUniqueName="[revenuXYZ].[categorie].[All]" allUniqueName="[revenuXYZ].[categorie].[All]" dimensionUniqueName="[revenuXYZ]" displayFolder="" count="2" memberValueDatatype="130" unbalanced="0">
      <fieldsUsage count="2">
        <fieldUsage x="-1"/>
        <fieldUsage x="4"/>
      </fieldsUsage>
    </cacheHierarchy>
    <cacheHierarchy uniqueName="[revenuXYZ].[Description]" caption="Description" attribute="1" defaultMemberUniqueName="[revenuXYZ].[Description].[All]" allUniqueName="[revenuXYZ].[Description].[All]" dimensionUniqueName="[revenuXYZ]" displayFolder="" count="0" memberValueDatatype="130" unbalanced="0"/>
    <cacheHierarchy uniqueName="[revenuXYZ].[montant]" caption="montant" attribute="1" defaultMemberUniqueName="[revenuXYZ].[montant].[All]" allUniqueName="[revenuXYZ].[montant].[All]" dimensionUniqueName="[revenuXYZ]" displayFolder="" count="0" memberValueDatatype="20" unbalanced="0"/>
    <cacheHierarchy uniqueName="[revenuXYZ].[montant_CFA]" caption="montant_CFA" attribute="1" defaultMemberUniqueName="[revenuXYZ].[montant_CFA].[All]" allUniqueName="[revenuXYZ].[montant_CFA].[All]" dimensionUniqueName="[revenuXYZ]" displayFolder="" count="0" memberValueDatatype="5" unbalanced="0"/>
    <cacheHierarchy uniqueName="[revenuXYZ].[source]" caption="source" attribute="1" defaultMemberUniqueName="[revenuXYZ].[source].[All]" allUniqueName="[revenuXYZ].[source].[All]" dimensionUniqueName="[revenuXYZ]" displayFolder="" count="0" memberValueDatatype="130" unbalanced="0"/>
    <cacheHierarchy uniqueName="[revenuXYZ].[ID]" caption="ID" attribute="1" defaultMemberUniqueName="[revenuXYZ].[ID].[All]" allUniqueName="[revenuXYZ].[ID].[All]" dimensionUniqueName="[revenuXYZ]" displayFolder="" count="0" memberValueDatatype="20" unbalanced="0"/>
    <cacheHierarchy uniqueName="[transport].[Colonne1]" caption="Colonne1" attribute="1" defaultMemberUniqueName="[transport].[Colonne1].[All]" allUniqueName="[transport].[Colonne1].[All]" dimensionUniqueName="[transport]" displayFolder="" count="0" memberValueDatatype="130" unbalanced="0"/>
    <cacheHierarchy uniqueName="[transport].[Colonne2]" caption="Colonne2" attribute="1" defaultMemberUniqueName="[transport].[Colonne2].[All]" allUniqueName="[transport].[Colonne2].[All]" dimensionUniqueName="[transport]" displayFolder="" count="0" memberValueDatatype="20" unbalanced="0"/>
    <cacheHierarchy uniqueName="[transport].[Colonne3]" caption="Colonne3" attribute="1" defaultMemberUniqueName="[transport].[Colonne3].[All]" allUniqueName="[transport].[Colonne3].[All]" dimensionUniqueName="[transport]" displayFolder="" count="0" memberValueDatatype="20" unbalanced="0"/>
    <cacheHierarchy uniqueName="[transport].[Colonne4]" caption="Colonne4" attribute="1" defaultMemberUniqueName="[transport].[Colonne4].[All]" allUniqueName="[transport].[Colonne4].[All]" dimensionUniqueName="[transport]" displayFolder="" count="0" memberValueDatatype="20" unbalanced="0"/>
    <cacheHierarchy uniqueName="[transport].[Colonne5]" caption="Colonne5" attribute="1" defaultMemberUniqueName="[transport].[Colonne5].[All]" allUniqueName="[transport].[Colonne5].[All]" dimensionUniqueName="[transport]" displayFolder="" count="0" memberValueDatatype="20" unbalanced="0"/>
    <cacheHierarchy uniqueName="[transport].[Colonne6]" caption="Colonne6" attribute="1" defaultMemberUniqueName="[transport].[Colonne6].[All]" allUniqueName="[transport].[Colonne6].[All]" dimensionUniqueName="[transport]" displayFolder="" count="0" memberValueDatatype="20" unbalanced="0"/>
    <cacheHierarchy uniqueName="[transport].[Colonne7]" caption="Colonne7" attribute="1" defaultMemberUniqueName="[transport].[Colonne7].[All]" allUniqueName="[transport].[Colonne7].[All]" dimensionUniqueName="[transport]" displayFolder="" count="0" memberValueDatatype="20" unbalanced="0"/>
    <cacheHierarchy uniqueName="[transport].[Colonne8]" caption="Colonne8" attribute="1" defaultMemberUniqueName="[transport].[Colonne8].[All]" allUniqueName="[transport].[Colonne8].[All]" dimensionUniqueName="[transport]" displayFolder="" count="0" memberValueDatatype="20" unbalanced="0"/>
    <cacheHierarchy uniqueName="[transport].[Colonne9]" caption="Colonne9" attribute="1" defaultMemberUniqueName="[transport].[Colonne9].[All]" allUniqueName="[transport].[Colonne9].[All]" dimensionUniqueName="[transport]" displayFolder="" count="0" memberValueDatatype="20" unbalanced="0"/>
    <cacheHierarchy uniqueName="[transport].[Colonne10]" caption="Colonne10" attribute="1" defaultMemberUniqueName="[transport].[Colonne10].[All]" allUniqueName="[transport].[Colonne10].[All]" dimensionUniqueName="[transport]" displayFolder="" count="0" memberValueDatatype="20" unbalanced="0"/>
    <cacheHierarchy uniqueName="[transport].[Colonne11]" caption="Colonne11" attribute="1" defaultMemberUniqueName="[transport].[Colonne11].[All]" allUniqueName="[transport].[Colonne11].[All]" dimensionUniqueName="[transport]" displayFolder="" count="0" memberValueDatatype="20" unbalanced="0"/>
    <cacheHierarchy uniqueName="[transport].[Colonne12]" caption="Colonne12" attribute="1" defaultMemberUniqueName="[transport].[Colonne12].[All]" allUniqueName="[transport].[Colonne12].[All]" dimensionUniqueName="[transport]" displayFolder="" count="0" memberValueDatatype="20" unbalanced="0"/>
    <cacheHierarchy uniqueName="[transport].[Colonne13]" caption="Colonne13" attribute="1" defaultMemberUniqueName="[transport].[Colonne13].[All]" allUniqueName="[transport].[Colonne13].[All]" dimensionUniqueName="[transport]" displayFolder="" count="0" memberValueDatatype="20" unbalanced="0"/>
    <cacheHierarchy uniqueName="[transport].[Colonne14]" caption="Colonne14" attribute="1" defaultMemberUniqueName="[transport].[Colonne14].[All]" allUniqueName="[transport].[Colonne14].[All]" dimensionUniqueName="[transport]" displayFolder="" count="0" memberValueDatatype="20" unbalanced="0"/>
    <cacheHierarchy uniqueName="[Date].[Date (Month Index)]" caption="Date (Month Index)" attribute="1" defaultMemberUniqueName="[Date].[Date (Month Index)].[All]" allUniqueName="[Date].[Date (Month Index)].[All]" dimensionUniqueName="[Date]" displayFolder="" count="0" memberValueDatatype="20" unbalanced="0" hidden="1"/>
    <cacheHierarchy uniqueName="[Measures].[Sum of montant]" caption="Sum of montant" measure="1" displayFolder="" measureGroup="revenuXYZ" count="0">
      <extLst>
        <ext xmlns:x15="http://schemas.microsoft.com/office/spreadsheetml/2010/11/main" uri="{B97F6D7D-B522-45F9-BDA1-12C45D357490}">
          <x15:cacheHierarchy aggregatedColumn="72"/>
        </ext>
      </extLst>
    </cacheHierarchy>
    <cacheHierarchy uniqueName="[Measures].[Sum of montant 2]" caption="Sum of montant 2" measure="1" displayFolder="" measureGroup="depense" count="0" oneField="1">
      <fieldsUsage count="1">
        <fieldUsage x="1"/>
      </fieldsUsage>
      <extLst>
        <ext xmlns:x15="http://schemas.microsoft.com/office/spreadsheetml/2010/11/main" uri="{B97F6D7D-B522-45F9-BDA1-12C45D357490}">
          <x15:cacheHierarchy aggregatedColumn="12"/>
        </ext>
      </extLst>
    </cacheHierarchy>
    <cacheHierarchy uniqueName="[Measures].[Average of montant]" caption="Average of montant" measure="1" displayFolder="" measureGroup="depense" count="0">
      <extLst>
        <ext xmlns:x15="http://schemas.microsoft.com/office/spreadsheetml/2010/11/main" uri="{B97F6D7D-B522-45F9-BDA1-12C45D357490}">
          <x15:cacheHierarchy aggregatedColumn="12"/>
        </ext>
      </extLst>
    </cacheHierarchy>
    <cacheHierarchy uniqueName="[Measures].[reste]" caption="reste" measure="1" displayFolder="" measureGroup="revenue" count="0"/>
    <cacheHierarchy uniqueName="[Measures].[TotalRevenue]" caption="TotalRevenue" measure="1" displayFolder="" measureGroup="revenuXYZ" count="0"/>
    <cacheHierarchy uniqueName="[Measures].[TotalDepense]" caption="TotalDepense" measure="1" displayFolder="" measureGroup="depense" count="0"/>
    <cacheHierarchy uniqueName="[Measures].[TotalReste]" caption="TotalReste" measure="1" displayFolder="" measureGroup="depense" count="0"/>
    <cacheHierarchy uniqueName="[Measures].[10% du Revenu]" caption="10% du Revenu" measure="1" displayFolder="" measureGroup="revenue" count="0"/>
    <cacheHierarchy uniqueName="[Measures].[20% du Revenu]" caption="20% du Revenu" measure="1" displayFolder="" measureGroup="revenue" count="0"/>
    <cacheHierarchy uniqueName="[Measures].[Epargne]" caption="Epargne" measure="1" displayFolder="" measureGroup="revenue" count="0"/>
    <cacheHierarchy uniqueName="[Measures].[Reste Depensable]" caption="Reste Depensable" measure="1" displayFolder="" measureGroup="revenuXYZ" count="0"/>
    <cacheHierarchy uniqueName="[Measures].[dime]" caption="dime" measure="1" displayFolder="" measureGroup="revenuXYZ" count="0"/>
    <cacheHierarchy uniqueName="[Measures].[__XL_Count revenue]" caption="__XL_Count revenue" measure="1" displayFolder="" measureGroup="revenue" count="0" hidden="1"/>
    <cacheHierarchy uniqueName="[Measures].[__XL_Count maison]" caption="__XL_Count maison" measure="1" displayFolder="" measureGroup="maison" count="0" hidden="1"/>
    <cacheHierarchy uniqueName="[Measures].[__XL_Count nourriture]" caption="__XL_Count nourriture" measure="1" displayFolder="" measureGroup="nourriture" count="0" hidden="1"/>
    <cacheHierarchy uniqueName="[Measures].[__XL_Count transport]" caption="__XL_Count transport" measure="1" displayFolder="" measureGroup="transport" count="0" hidden="1"/>
    <cacheHierarchy uniqueName="[Measures].[__XL_Count revenuXYZ]" caption="__XL_Count revenuXYZ" measure="1" displayFolder="" measureGroup="revenuXYZ" count="0" hidden="1"/>
    <cacheHierarchy uniqueName="[Measures].[__XL_Count depense]" caption="__XL_Count depense" measure="1" displayFolder="" measureGroup="depense" count="0" hidden="1"/>
    <cacheHierarchy uniqueName="[Measures].[__XL_Count Table14]" caption="__XL_Count Table14" measure="1" displayFolder="" measureGroup="Date" count="0" hidden="1"/>
    <cacheHierarchy uniqueName="[Measures].[__XL_Count Epargne]" caption="__XL_Count Epargne" measure="1" displayFolder="" measureGroup="Epargne" count="0" hidden="1"/>
    <cacheHierarchy uniqueName="[Measures].[__XL_Count dime]" caption="__XL_Count dime" measure="1" displayFolder="" measureGroup="dime" count="0" hidden="1"/>
    <cacheHierarchy uniqueName="[Measures].[__No measures defined]" caption="__No measures defined" measure="1" displayFolder="" count="0" hidden="1"/>
  </cacheHierarchies>
  <kpis count="0"/>
  <dimensions count="10">
    <dimension name="Date" uniqueName="[Date]" caption="Date"/>
    <dimension name="depense" uniqueName="[depense]" caption="depense"/>
    <dimension name="dime" uniqueName="[dime]" caption="dime"/>
    <dimension name="Epargne" uniqueName="[Epargne]" caption="Epargne"/>
    <dimension name="maison" uniqueName="[maison]" caption="maison"/>
    <dimension measure="1" name="Measures" uniqueName="[Measures]" caption="Measures"/>
    <dimension name="nourriture" uniqueName="[nourriture]" caption="nourriture"/>
    <dimension name="revenue" uniqueName="[revenue]" caption="revenue"/>
    <dimension name="revenuXYZ" uniqueName="[revenuXYZ]" caption="revenuXYZ"/>
    <dimension name="transport" uniqueName="[transport]" caption="transport"/>
  </dimensions>
  <measureGroups count="9">
    <measureGroup name="Date" caption="Date"/>
    <measureGroup name="depense" caption="depense"/>
    <measureGroup name="dime" caption="dime"/>
    <measureGroup name="Epargne" caption="Epargne"/>
    <measureGroup name="maison" caption="maison"/>
    <measureGroup name="nourriture" caption="nourriture"/>
    <measureGroup name="revenue" caption="revenue"/>
    <measureGroup name="revenuXYZ" caption="revenuXYZ"/>
    <measureGroup name="transport" caption="transport"/>
  </measureGroups>
  <maps count="13">
    <map measureGroup="0" dimension="0"/>
    <map measureGroup="1" dimension="0"/>
    <map measureGroup="1" dimension="1"/>
    <map measureGroup="2" dimension="0"/>
    <map measureGroup="2" dimension="2"/>
    <map measureGroup="3" dimension="0"/>
    <map measureGroup="3" dimension="3"/>
    <map measureGroup="4" dimension="4"/>
    <map measureGroup="5" dimension="6"/>
    <map measureGroup="6" dimension="7"/>
    <map measureGroup="7" dimension="0"/>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504.703325462964" backgroundQuery="1" createdVersion="8" refreshedVersion="8" minRefreshableVersion="3" recordCount="0" supportSubquery="1" supportAdvancedDrill="1" xr:uid="{4A1E32BE-C756-4F6D-A1C0-2EDC1F41A713}">
  <cacheSource type="external" connectionId="1"/>
  <cacheFields count="7">
    <cacheField name="[Measures].[TotalDepense]" caption="TotalDepense" numFmtId="0" hierarchy="96" level="32767"/>
    <cacheField name="[Measures].[TotalReste]" caption="TotalReste" numFmtId="0" hierarchy="97" level="32767"/>
    <cacheField name="[Measures].[TotalRevenue]" caption="TotalRevenue" numFmtId="0" hierarchy="95" level="32767"/>
    <cacheField name="[Date].[Date (Year)].[Date (Year)]" caption="Date (Year)" numFmtId="0" hierarchy="1" level="1">
      <sharedItems containsSemiMixedTypes="0" containsNonDate="0" containsString="0"/>
    </cacheField>
    <cacheField name="[Date].[Date (Month)].[Date (Month)]" caption="Date (Month)" numFmtId="0" hierarchy="3" level="1">
      <sharedItems containsSemiMixedTypes="0" containsNonDate="0" containsString="0"/>
    </cacheField>
    <cacheField name="[depense].[Caegorie].[Caegorie]" caption="Caegorie" numFmtId="0" hierarchy="10" level="1">
      <sharedItems containsSemiMixedTypes="0" containsNonDate="0" containsString="0"/>
    </cacheField>
    <cacheField name="[revenuXYZ].[categorie].[categorie]" caption="categorie" numFmtId="0" hierarchy="70" level="1">
      <sharedItems containsSemiMixedTypes="0" containsNonDate="0" containsString="0"/>
    </cacheField>
  </cacheFields>
  <cacheHierarchies count="113">
    <cacheHierarchy uniqueName="[Date].[Date]" caption="Date" attribute="1" time="1" defaultMemberUniqueName="[Date].[Date].[All]" allUniqueName="[Date].[Date].[All]" dimensionUniqueName="[Date]" displayFolder="" count="0" memberValueDatatype="7" unbalanced="0"/>
    <cacheHierarchy uniqueName="[Date].[Date (Year)]" caption="Date (Year)" attribute="1" defaultMemberUniqueName="[Date].[Date (Year)].[All]" allUniqueName="[Date].[Date (Year)].[All]" dimensionUniqueName="[Date]" displayFolder="" count="2" memberValueDatatype="130" unbalanced="0">
      <fieldsUsage count="2">
        <fieldUsage x="-1"/>
        <fieldUsage x="3"/>
      </fieldsUsage>
    </cacheHierarchy>
    <cacheHierarchy uniqueName="[Date].[Date (Quarter)]" caption="Date (Quarter)" attribute="1" defaultMemberUniqueName="[Date].[Date (Quarter)].[All]" allUniqueName="[Date].[Date (Quarter)].[All]" dimensionUniqueName="[Date]" displayFolder="" count="0" memberValueDatatype="130" unbalanced="0"/>
    <cacheHierarchy uniqueName="[Date].[Date (Month)]" caption="Date (Month)" attribute="1" defaultMemberUniqueName="[Date].[Date (Month)].[All]" allUniqueName="[Date].[Date (Month)].[All]" dimensionUniqueName="[Date]" displayFolder="" count="2" memberValueDatatype="130" unbalanced="0">
      <fieldsUsage count="2">
        <fieldUsage x="-1"/>
        <fieldUsage x="4"/>
      </fieldsUsage>
    </cacheHierarchy>
    <cacheHierarchy uniqueName="[Date].[week]" caption="week" attribute="1" defaultMemberUniqueName="[Date].[week].[All]" allUniqueName="[Date].[week].[All]" dimensionUniqueName="[Date]" displayFolder="" count="0" memberValueDatatype="130" unbalanced="0"/>
    <cacheHierarchy uniqueName="[Date].[Mois]" caption="Mois" attribute="1" defaultMemberUniqueName="[Date].[Mois].[All]" allUniqueName="[Date].[Mois].[All]" dimensionUniqueName="[Date]" displayFolder="" count="0" memberValueDatatype="20" unbalanced="0"/>
    <cacheHierarchy uniqueName="[Date].[Nun_Month]" caption="Nun_Month" attribute="1" defaultMemberUniqueName="[Date].[Nun_Month].[All]" allUniqueName="[Date].[Nun_Month].[All]" dimensionUniqueName="[Date]" displayFolder="" count="0" memberValueDatatype="130" unbalanced="0"/>
    <cacheHierarchy uniqueName="[depense].[Date]" caption="Date" attribute="1" time="1" defaultMemberUniqueName="[depense].[Date].[All]" allUniqueName="[depense].[Date].[All]" dimensionUniqueName="[depense]" displayFolder="" count="0" memberValueDatatype="7" unbalanced="0"/>
    <cacheHierarchy uniqueName="[depense].[mois]" caption="mois" attribute="1" defaultMemberUniqueName="[depense].[mois].[All]" allUniqueName="[depense].[mois].[All]" dimensionUniqueName="[depense]" displayFolder="" count="0" memberValueDatatype="20" unbalanced="0"/>
    <cacheHierarchy uniqueName="[depense].[source]" caption="source" attribute="1" defaultMemberUniqueName="[depense].[source].[All]" allUniqueName="[depense].[source].[All]" dimensionUniqueName="[depense]" displayFolder="" count="0" memberValueDatatype="130" unbalanced="0"/>
    <cacheHierarchy uniqueName="[depense].[Caegorie]" caption="Caegorie" attribute="1" defaultMemberUniqueName="[depense].[Caegorie].[All]" allUniqueName="[depense].[Caegorie].[All]" dimensionUniqueName="[depense]" displayFolder="" count="2" memberValueDatatype="130" unbalanced="0">
      <fieldsUsage count="2">
        <fieldUsage x="-1"/>
        <fieldUsage x="5"/>
      </fieldsUsage>
    </cacheHierarchy>
    <cacheHierarchy uniqueName="[depense].[Description]" caption="Description" attribute="1" defaultMemberUniqueName="[depense].[Description].[All]" allUniqueName="[depense].[Description].[All]" dimensionUniqueName="[depense]" displayFolder="" count="0" memberValueDatatype="130" unbalanced="0"/>
    <cacheHierarchy uniqueName="[depense].[montant]" caption="montant" attribute="1" defaultMemberUniqueName="[depense].[montant].[All]" allUniqueName="[depense].[montant].[All]" dimensionUniqueName="[depense]" displayFolder="" count="0" memberValueDatatype="20" unbalanced="0"/>
    <cacheHierarchy uniqueName="[depense].[montant_CFA]" caption="montant_CFA" attribute="1" defaultMemberUniqueName="[depense].[montant_CFA].[All]" allUniqueName="[depense].[montant_CFA].[All]" dimensionUniqueName="[depense]" displayFolder="" count="0" memberValueDatatype="20" unbalanced="0"/>
    <cacheHierarchy uniqueName="[depense].[ID]" caption="ID" attribute="1" defaultMemberUniqueName="[depense].[ID].[All]" allUniqueName="[depense].[ID].[All]" dimensionUniqueName="[depense]" displayFolder="" count="0" memberValueDatatype="20" unbalanced="0"/>
    <cacheHierarchy uniqueName="[dime].[Date]" caption="Date" attribute="1" time="1" defaultMemberUniqueName="[dime].[Date].[All]" allUniqueName="[dime].[Date].[All]" dimensionUniqueName="[dime]" displayFolder="" count="0" memberValueDatatype="7" unbalanced="0"/>
    <cacheHierarchy uniqueName="[dime].[ID_revenue]" caption="ID_revenue" attribute="1" defaultMemberUniqueName="[dime].[ID_revenue].[All]" allUniqueName="[dime].[ID_revenue].[All]" dimensionUniqueName="[dime]" displayFolder="" count="0" memberValueDatatype="20" unbalanced="0"/>
    <cacheHierarchy uniqueName="[dime].[Description]" caption="Description" attribute="1" defaultMemberUniqueName="[dime].[Description].[All]" allUniqueName="[dime].[Description].[All]" dimensionUniqueName="[dime]" displayFolder="" count="0" memberValueDatatype="130" unbalanced="0"/>
    <cacheHierarchy uniqueName="[dime].[source]" caption="source" attribute="1" defaultMemberUniqueName="[dime].[source].[All]" allUniqueName="[dime].[source].[All]" dimensionUniqueName="[dime]" displayFolder="" count="0" memberValueDatatype="130" unbalanced="0"/>
    <cacheHierarchy uniqueName="[dime].[montant]" caption="montant" attribute="1" defaultMemberUniqueName="[dime].[montant].[All]" allUniqueName="[dime].[montant].[All]" dimensionUniqueName="[dime]" displayFolder="" count="0" memberValueDatatype="5" unbalanced="0"/>
    <cacheHierarchy uniqueName="[Epargne].[ID]" caption="ID" attribute="1" defaultMemberUniqueName="[Epargne].[ID].[All]" allUniqueName="[Epargne].[ID].[All]" dimensionUniqueName="[Epargne]" displayFolder="" count="0" memberValueDatatype="20" unbalanced="0"/>
    <cacheHierarchy uniqueName="[Epargne].[date]" caption="date" attribute="1" time="1" defaultMemberUniqueName="[Epargne].[date].[All]" allUniqueName="[Epargne].[date].[All]" dimensionUniqueName="[Epargne]" displayFolder="" count="0" memberValueDatatype="7" unbalanced="0"/>
    <cacheHierarchy uniqueName="[Epargne].[source]" caption="source" attribute="1" defaultMemberUniqueName="[Epargne].[source].[All]" allUniqueName="[Epargne].[source].[All]" dimensionUniqueName="[Epargne]" displayFolder="" count="0" memberValueDatatype="130" unbalanced="0"/>
    <cacheHierarchy uniqueName="[Epargne].[Description]" caption="Description" attribute="1" defaultMemberUniqueName="[Epargne].[Description].[All]" allUniqueName="[Epargne].[Description].[All]" dimensionUniqueName="[Epargne]" displayFolder="" count="0" memberValueDatatype="130" unbalanced="0"/>
    <cacheHierarchy uniqueName="[Epargne].[montant]" caption="montant" attribute="1" defaultMemberUniqueName="[Epargne].[montant].[All]" allUniqueName="[Epargne].[montant].[All]" dimensionUniqueName="[Epargne]" displayFolder="" count="0" memberValueDatatype="5" unbalanced="0"/>
    <cacheHierarchy uniqueName="[Epargne].[montant_CFA]" caption="montant_CFA" attribute="1" defaultMemberUniqueName="[Epargne].[montant_CFA].[All]" allUniqueName="[Epargne].[montant_CFA].[All]" dimensionUniqueName="[Epargne]" displayFolder="" count="0" memberValueDatatype="5" unbalanced="0"/>
    <cacheHierarchy uniqueName="[maison].[Colonne1]" caption="Colonne1" attribute="1" defaultMemberUniqueName="[maison].[Colonne1].[All]" allUniqueName="[maison].[Colonne1].[All]" dimensionUniqueName="[maison]" displayFolder="" count="0" memberValueDatatype="130" unbalanced="0"/>
    <cacheHierarchy uniqueName="[maison].[Colonne2]" caption="Colonne2" attribute="1" defaultMemberUniqueName="[maison].[Colonne2].[All]" allUniqueName="[maison].[Colonne2].[All]" dimensionUniqueName="[maison]" displayFolder="" count="0" memberValueDatatype="20" unbalanced="0"/>
    <cacheHierarchy uniqueName="[maison].[Colonne3]" caption="Colonne3" attribute="1" defaultMemberUniqueName="[maison].[Colonne3].[All]" allUniqueName="[maison].[Colonne3].[All]" dimensionUniqueName="[maison]" displayFolder="" count="0" memberValueDatatype="20" unbalanced="0"/>
    <cacheHierarchy uniqueName="[maison].[Colonne4]" caption="Colonne4" attribute="1" defaultMemberUniqueName="[maison].[Colonne4].[All]" allUniqueName="[maison].[Colonne4].[All]" dimensionUniqueName="[maison]" displayFolder="" count="0" memberValueDatatype="20" unbalanced="0"/>
    <cacheHierarchy uniqueName="[maison].[Colonne5]" caption="Colonne5" attribute="1" defaultMemberUniqueName="[maison].[Colonne5].[All]" allUniqueName="[maison].[Colonne5].[All]" dimensionUniqueName="[maison]" displayFolder="" count="0" memberValueDatatype="20" unbalanced="0"/>
    <cacheHierarchy uniqueName="[maison].[Colonne6]" caption="Colonne6" attribute="1" defaultMemberUniqueName="[maison].[Colonne6].[All]" allUniqueName="[maison].[Colonne6].[All]" dimensionUniqueName="[maison]" displayFolder="" count="0" memberValueDatatype="20" unbalanced="0"/>
    <cacheHierarchy uniqueName="[maison].[Colonne7]" caption="Colonne7" attribute="1" defaultMemberUniqueName="[maison].[Colonne7].[All]" allUniqueName="[maison].[Colonne7].[All]" dimensionUniqueName="[maison]" displayFolder="" count="0" memberValueDatatype="20" unbalanced="0"/>
    <cacheHierarchy uniqueName="[maison].[Colonne8]" caption="Colonne8" attribute="1" defaultMemberUniqueName="[maison].[Colonne8].[All]" allUniqueName="[maison].[Colonne8].[All]" dimensionUniqueName="[maison]" displayFolder="" count="0" memberValueDatatype="20" unbalanced="0"/>
    <cacheHierarchy uniqueName="[maison].[Colonne9]" caption="Colonne9" attribute="1" defaultMemberUniqueName="[maison].[Colonne9].[All]" allUniqueName="[maison].[Colonne9].[All]" dimensionUniqueName="[maison]" displayFolder="" count="0" memberValueDatatype="20" unbalanced="0"/>
    <cacheHierarchy uniqueName="[maison].[Colonne10]" caption="Colonne10" attribute="1" defaultMemberUniqueName="[maison].[Colonne10].[All]" allUniqueName="[maison].[Colonne10].[All]" dimensionUniqueName="[maison]" displayFolder="" count="0" memberValueDatatype="20" unbalanced="0"/>
    <cacheHierarchy uniqueName="[maison].[Colonne11]" caption="Colonne11" attribute="1" defaultMemberUniqueName="[maison].[Colonne11].[All]" allUniqueName="[maison].[Colonne11].[All]" dimensionUniqueName="[maison]" displayFolder="" count="0" memberValueDatatype="20" unbalanced="0"/>
    <cacheHierarchy uniqueName="[maison].[Colonne12]" caption="Colonne12" attribute="1" defaultMemberUniqueName="[maison].[Colonne12].[All]" allUniqueName="[maison].[Colonne12].[All]" dimensionUniqueName="[maison]" displayFolder="" count="0" memberValueDatatype="20" unbalanced="0"/>
    <cacheHierarchy uniqueName="[maison].[Colonne13]" caption="Colonne13" attribute="1" defaultMemberUniqueName="[maison].[Colonne13].[All]" allUniqueName="[maison].[Colonne13].[All]" dimensionUniqueName="[maison]" displayFolder="" count="0" memberValueDatatype="20" unbalanced="0"/>
    <cacheHierarchy uniqueName="[maison].[Colonne14]" caption="Colonne14" attribute="1" defaultMemberUniqueName="[maison].[Colonne14].[All]" allUniqueName="[maison].[Colonne14].[All]" dimensionUniqueName="[maison]" displayFolder="" count="0" memberValueDatatype="20" unbalanced="0"/>
    <cacheHierarchy uniqueName="[nourriture].[Colonne1]" caption="Colonne1" attribute="1" defaultMemberUniqueName="[nourriture].[Colonne1].[All]" allUniqueName="[nourriture].[Colonne1].[All]" dimensionUniqueName="[nourriture]" displayFolder="" count="0" memberValueDatatype="130" unbalanced="0"/>
    <cacheHierarchy uniqueName="[nourriture].[Colonne2]" caption="Colonne2" attribute="1" defaultMemberUniqueName="[nourriture].[Colonne2].[All]" allUniqueName="[nourriture].[Colonne2].[All]" dimensionUniqueName="[nourriture]" displayFolder="" count="0" memberValueDatatype="20" unbalanced="0"/>
    <cacheHierarchy uniqueName="[nourriture].[Colonne3]" caption="Colonne3" attribute="1" defaultMemberUniqueName="[nourriture].[Colonne3].[All]" allUniqueName="[nourriture].[Colonne3].[All]" dimensionUniqueName="[nourriture]" displayFolder="" count="0" memberValueDatatype="20" unbalanced="0"/>
    <cacheHierarchy uniqueName="[nourriture].[Colonne4]" caption="Colonne4" attribute="1" defaultMemberUniqueName="[nourriture].[Colonne4].[All]" allUniqueName="[nourriture].[Colonne4].[All]" dimensionUniqueName="[nourriture]" displayFolder="" count="0" memberValueDatatype="20" unbalanced="0"/>
    <cacheHierarchy uniqueName="[nourriture].[Colonne5]" caption="Colonne5" attribute="1" defaultMemberUniqueName="[nourriture].[Colonne5].[All]" allUniqueName="[nourriture].[Colonne5].[All]" dimensionUniqueName="[nourriture]" displayFolder="" count="0" memberValueDatatype="20" unbalanced="0"/>
    <cacheHierarchy uniqueName="[nourriture].[Colonne6]" caption="Colonne6" attribute="1" defaultMemberUniqueName="[nourriture].[Colonne6].[All]" allUniqueName="[nourriture].[Colonne6].[All]" dimensionUniqueName="[nourriture]" displayFolder="" count="0" memberValueDatatype="20" unbalanced="0"/>
    <cacheHierarchy uniqueName="[nourriture].[Colonne7]" caption="Colonne7" attribute="1" defaultMemberUniqueName="[nourriture].[Colonne7].[All]" allUniqueName="[nourriture].[Colonne7].[All]" dimensionUniqueName="[nourriture]" displayFolder="" count="0" memberValueDatatype="20" unbalanced="0"/>
    <cacheHierarchy uniqueName="[nourriture].[Colonne8]" caption="Colonne8" attribute="1" defaultMemberUniqueName="[nourriture].[Colonne8].[All]" allUniqueName="[nourriture].[Colonne8].[All]" dimensionUniqueName="[nourriture]" displayFolder="" count="0" memberValueDatatype="20" unbalanced="0"/>
    <cacheHierarchy uniqueName="[nourriture].[Colonne9]" caption="Colonne9" attribute="1" defaultMemberUniqueName="[nourriture].[Colonne9].[All]" allUniqueName="[nourriture].[Colonne9].[All]" dimensionUniqueName="[nourriture]" displayFolder="" count="0" memberValueDatatype="20" unbalanced="0"/>
    <cacheHierarchy uniqueName="[nourriture].[Colonne10]" caption="Colonne10" attribute="1" defaultMemberUniqueName="[nourriture].[Colonne10].[All]" allUniqueName="[nourriture].[Colonne10].[All]" dimensionUniqueName="[nourriture]" displayFolder="" count="0" memberValueDatatype="20" unbalanced="0"/>
    <cacheHierarchy uniqueName="[nourriture].[Colonne11]" caption="Colonne11" attribute="1" defaultMemberUniqueName="[nourriture].[Colonne11].[All]" allUniqueName="[nourriture].[Colonne11].[All]" dimensionUniqueName="[nourriture]" displayFolder="" count="0" memberValueDatatype="20" unbalanced="0"/>
    <cacheHierarchy uniqueName="[nourriture].[Colonne12]" caption="Colonne12" attribute="1" defaultMemberUniqueName="[nourriture].[Colonne12].[All]" allUniqueName="[nourriture].[Colonne12].[All]" dimensionUniqueName="[nourriture]" displayFolder="" count="0" memberValueDatatype="20" unbalanced="0"/>
    <cacheHierarchy uniqueName="[nourriture].[Colonne13]" caption="Colonne13" attribute="1" defaultMemberUniqueName="[nourriture].[Colonne13].[All]" allUniqueName="[nourriture].[Colonne13].[All]" dimensionUniqueName="[nourriture]" displayFolder="" count="0" memberValueDatatype="20" unbalanced="0"/>
    <cacheHierarchy uniqueName="[nourriture].[Colonne14]" caption="Colonne14" attribute="1" defaultMemberUniqueName="[nourriture].[Colonne14].[All]" allUniqueName="[nourriture].[Colonne14].[All]" dimensionUniqueName="[nourriture]" displayFolder="" count="0" memberValueDatatype="20" unbalanced="0"/>
    <cacheHierarchy uniqueName="[revenue].[Elements]" caption="Elements" attribute="1" defaultMemberUniqueName="[revenue].[Elements].[All]" allUniqueName="[revenue].[Elements].[All]" dimensionUniqueName="[revenue]" displayFolder="" count="0" memberValueDatatype="130" unbalanced="0"/>
    <cacheHierarchy uniqueName="[revenue].[Janv.]" caption="Janv." attribute="1" defaultMemberUniqueName="[revenue].[Janv.].[All]" allUniqueName="[revenue].[Janv.].[All]" dimensionUniqueName="[revenue]" displayFolder="" count="0" memberValueDatatype="20" unbalanced="0"/>
    <cacheHierarchy uniqueName="[revenue].[Fev.]" caption="Fev." attribute="1" defaultMemberUniqueName="[revenue].[Fev.].[All]" allUniqueName="[revenue].[Fev.].[All]" dimensionUniqueName="[revenue]" displayFolder="" count="0" memberValueDatatype="20" unbalanced="0"/>
    <cacheHierarchy uniqueName="[revenue].[Mars.]" caption="Mars." attribute="1" defaultMemberUniqueName="[revenue].[Mars.].[All]" allUniqueName="[revenue].[Mars.].[All]" dimensionUniqueName="[revenue]" displayFolder="" count="0" memberValueDatatype="20" unbalanced="0"/>
    <cacheHierarchy uniqueName="[revenue].[Avril]" caption="Avril" attribute="1" defaultMemberUniqueName="[revenue].[Avril].[All]" allUniqueName="[revenue].[Avril].[All]" dimensionUniqueName="[revenue]" displayFolder="" count="0" memberValueDatatype="20" unbalanced="0"/>
    <cacheHierarchy uniqueName="[revenue].[Mai]" caption="Mai" attribute="1" defaultMemberUniqueName="[revenue].[Mai].[All]" allUniqueName="[revenue].[Mai].[All]" dimensionUniqueName="[revenue]" displayFolder="" count="0" memberValueDatatype="20" unbalanced="0"/>
    <cacheHierarchy uniqueName="[revenue].[Juin]" caption="Juin" attribute="1" defaultMemberUniqueName="[revenue].[Juin].[All]" allUniqueName="[revenue].[Juin].[All]" dimensionUniqueName="[revenue]" displayFolder="" count="0" memberValueDatatype="20" unbalanced="0"/>
    <cacheHierarchy uniqueName="[revenue].[Juillet]" caption="Juillet" attribute="1" defaultMemberUniqueName="[revenue].[Juillet].[All]" allUniqueName="[revenue].[Juillet].[All]" dimensionUniqueName="[revenue]" displayFolder="" count="0" memberValueDatatype="20" unbalanced="0"/>
    <cacheHierarchy uniqueName="[revenue].[Aout]" caption="Aout" attribute="1" defaultMemberUniqueName="[revenue].[Aout].[All]" allUniqueName="[revenue].[Aout].[All]" dimensionUniqueName="[revenue]" displayFolder="" count="0" memberValueDatatype="20" unbalanced="0"/>
    <cacheHierarchy uniqueName="[revenue].[Sept.]" caption="Sept." attribute="1" defaultMemberUniqueName="[revenue].[Sept.].[All]" allUniqueName="[revenue].[Sept.].[All]" dimensionUniqueName="[revenue]" displayFolder="" count="0" memberValueDatatype="20" unbalanced="0"/>
    <cacheHierarchy uniqueName="[revenue].[Oct.]" caption="Oct." attribute="1" defaultMemberUniqueName="[revenue].[Oct.].[All]" allUniqueName="[revenue].[Oct.].[All]" dimensionUniqueName="[revenue]" displayFolder="" count="0" memberValueDatatype="20" unbalanced="0"/>
    <cacheHierarchy uniqueName="[revenue].[Nov.]" caption="Nov." attribute="1" defaultMemberUniqueName="[revenue].[Nov.].[All]" allUniqueName="[revenue].[Nov.].[All]" dimensionUniqueName="[revenue]" displayFolder="" count="0" memberValueDatatype="20" unbalanced="0"/>
    <cacheHierarchy uniqueName="[revenue].[Dec]" caption="Dec" attribute="1" defaultMemberUniqueName="[revenue].[Dec].[All]" allUniqueName="[revenue].[Dec].[All]" dimensionUniqueName="[revenue]" displayFolder="" count="0" memberValueDatatype="20" unbalanced="0"/>
    <cacheHierarchy uniqueName="[revenue].[Year to Date]" caption="Year to Date" attribute="1" defaultMemberUniqueName="[revenue].[Year to Date].[All]" allUniqueName="[revenue].[Year to Date].[All]" dimensionUniqueName="[revenue]" displayFolder="" count="0" memberValueDatatype="20" unbalanced="0"/>
    <cacheHierarchy uniqueName="[revenuXYZ].[Date]" caption="Date" attribute="1" time="1" defaultMemberUniqueName="[revenuXYZ].[Date].[All]" allUniqueName="[revenuXYZ].[Date].[All]" dimensionUniqueName="[revenuXYZ]" displayFolder="" count="0" memberValueDatatype="7" unbalanced="0"/>
    <cacheHierarchy uniqueName="[revenuXYZ].[mois]" caption="mois" attribute="1" defaultMemberUniqueName="[revenuXYZ].[mois].[All]" allUniqueName="[revenuXYZ].[mois].[All]" dimensionUniqueName="[revenuXYZ]" displayFolder="" count="0" memberValueDatatype="20" unbalanced="0"/>
    <cacheHierarchy uniqueName="[revenuXYZ].[categorie]" caption="categorie" attribute="1" defaultMemberUniqueName="[revenuXYZ].[categorie].[All]" allUniqueName="[revenuXYZ].[categorie].[All]" dimensionUniqueName="[revenuXYZ]" displayFolder="" count="2" memberValueDatatype="130" unbalanced="0">
      <fieldsUsage count="2">
        <fieldUsage x="-1"/>
        <fieldUsage x="6"/>
      </fieldsUsage>
    </cacheHierarchy>
    <cacheHierarchy uniqueName="[revenuXYZ].[Description]" caption="Description" attribute="1" defaultMemberUniqueName="[revenuXYZ].[Description].[All]" allUniqueName="[revenuXYZ].[Description].[All]" dimensionUniqueName="[revenuXYZ]" displayFolder="" count="0" memberValueDatatype="130" unbalanced="0"/>
    <cacheHierarchy uniqueName="[revenuXYZ].[montant]" caption="montant" attribute="1" defaultMemberUniqueName="[revenuXYZ].[montant].[All]" allUniqueName="[revenuXYZ].[montant].[All]" dimensionUniqueName="[revenuXYZ]" displayFolder="" count="0" memberValueDatatype="20" unbalanced="0"/>
    <cacheHierarchy uniqueName="[revenuXYZ].[montant_CFA]" caption="montant_CFA" attribute="1" defaultMemberUniqueName="[revenuXYZ].[montant_CFA].[All]" allUniqueName="[revenuXYZ].[montant_CFA].[All]" dimensionUniqueName="[revenuXYZ]" displayFolder="" count="0" memberValueDatatype="5" unbalanced="0"/>
    <cacheHierarchy uniqueName="[revenuXYZ].[source]" caption="source" attribute="1" defaultMemberUniqueName="[revenuXYZ].[source].[All]" allUniqueName="[revenuXYZ].[source].[All]" dimensionUniqueName="[revenuXYZ]" displayFolder="" count="0" memberValueDatatype="130" unbalanced="0"/>
    <cacheHierarchy uniqueName="[revenuXYZ].[ID]" caption="ID" attribute="1" defaultMemberUniqueName="[revenuXYZ].[ID].[All]" allUniqueName="[revenuXYZ].[ID].[All]" dimensionUniqueName="[revenuXYZ]" displayFolder="" count="0" memberValueDatatype="20" unbalanced="0"/>
    <cacheHierarchy uniqueName="[transport].[Colonne1]" caption="Colonne1" attribute="1" defaultMemberUniqueName="[transport].[Colonne1].[All]" allUniqueName="[transport].[Colonne1].[All]" dimensionUniqueName="[transport]" displayFolder="" count="0" memberValueDatatype="130" unbalanced="0"/>
    <cacheHierarchy uniqueName="[transport].[Colonne2]" caption="Colonne2" attribute="1" defaultMemberUniqueName="[transport].[Colonne2].[All]" allUniqueName="[transport].[Colonne2].[All]" dimensionUniqueName="[transport]" displayFolder="" count="0" memberValueDatatype="20" unbalanced="0"/>
    <cacheHierarchy uniqueName="[transport].[Colonne3]" caption="Colonne3" attribute="1" defaultMemberUniqueName="[transport].[Colonne3].[All]" allUniqueName="[transport].[Colonne3].[All]" dimensionUniqueName="[transport]" displayFolder="" count="0" memberValueDatatype="20" unbalanced="0"/>
    <cacheHierarchy uniqueName="[transport].[Colonne4]" caption="Colonne4" attribute="1" defaultMemberUniqueName="[transport].[Colonne4].[All]" allUniqueName="[transport].[Colonne4].[All]" dimensionUniqueName="[transport]" displayFolder="" count="0" memberValueDatatype="20" unbalanced="0"/>
    <cacheHierarchy uniqueName="[transport].[Colonne5]" caption="Colonne5" attribute="1" defaultMemberUniqueName="[transport].[Colonne5].[All]" allUniqueName="[transport].[Colonne5].[All]" dimensionUniqueName="[transport]" displayFolder="" count="0" memberValueDatatype="20" unbalanced="0"/>
    <cacheHierarchy uniqueName="[transport].[Colonne6]" caption="Colonne6" attribute="1" defaultMemberUniqueName="[transport].[Colonne6].[All]" allUniqueName="[transport].[Colonne6].[All]" dimensionUniqueName="[transport]" displayFolder="" count="0" memberValueDatatype="20" unbalanced="0"/>
    <cacheHierarchy uniqueName="[transport].[Colonne7]" caption="Colonne7" attribute="1" defaultMemberUniqueName="[transport].[Colonne7].[All]" allUniqueName="[transport].[Colonne7].[All]" dimensionUniqueName="[transport]" displayFolder="" count="0" memberValueDatatype="20" unbalanced="0"/>
    <cacheHierarchy uniqueName="[transport].[Colonne8]" caption="Colonne8" attribute="1" defaultMemberUniqueName="[transport].[Colonne8].[All]" allUniqueName="[transport].[Colonne8].[All]" dimensionUniqueName="[transport]" displayFolder="" count="0" memberValueDatatype="20" unbalanced="0"/>
    <cacheHierarchy uniqueName="[transport].[Colonne9]" caption="Colonne9" attribute="1" defaultMemberUniqueName="[transport].[Colonne9].[All]" allUniqueName="[transport].[Colonne9].[All]" dimensionUniqueName="[transport]" displayFolder="" count="0" memberValueDatatype="20" unbalanced="0"/>
    <cacheHierarchy uniqueName="[transport].[Colonne10]" caption="Colonne10" attribute="1" defaultMemberUniqueName="[transport].[Colonne10].[All]" allUniqueName="[transport].[Colonne10].[All]" dimensionUniqueName="[transport]" displayFolder="" count="0" memberValueDatatype="20" unbalanced="0"/>
    <cacheHierarchy uniqueName="[transport].[Colonne11]" caption="Colonne11" attribute="1" defaultMemberUniqueName="[transport].[Colonne11].[All]" allUniqueName="[transport].[Colonne11].[All]" dimensionUniqueName="[transport]" displayFolder="" count="0" memberValueDatatype="20" unbalanced="0"/>
    <cacheHierarchy uniqueName="[transport].[Colonne12]" caption="Colonne12" attribute="1" defaultMemberUniqueName="[transport].[Colonne12].[All]" allUniqueName="[transport].[Colonne12].[All]" dimensionUniqueName="[transport]" displayFolder="" count="0" memberValueDatatype="20" unbalanced="0"/>
    <cacheHierarchy uniqueName="[transport].[Colonne13]" caption="Colonne13" attribute="1" defaultMemberUniqueName="[transport].[Colonne13].[All]" allUniqueName="[transport].[Colonne13].[All]" dimensionUniqueName="[transport]" displayFolder="" count="0" memberValueDatatype="20" unbalanced="0"/>
    <cacheHierarchy uniqueName="[transport].[Colonne14]" caption="Colonne14" attribute="1" defaultMemberUniqueName="[transport].[Colonne14].[All]" allUniqueName="[transport].[Colonne14].[All]" dimensionUniqueName="[transport]" displayFolder="" count="0" memberValueDatatype="20" unbalanced="0"/>
    <cacheHierarchy uniqueName="[Date].[Date (Month Index)]" caption="Date (Month Index)" attribute="1" defaultMemberUniqueName="[Date].[Date (Month Index)].[All]" allUniqueName="[Date].[Date (Month Index)].[All]" dimensionUniqueName="[Date]" displayFolder="" count="0" memberValueDatatype="20" unbalanced="0" hidden="1"/>
    <cacheHierarchy uniqueName="[Measures].[Sum of montant]" caption="Sum of montant" measure="1" displayFolder="" measureGroup="revenuXYZ" count="0">
      <extLst>
        <ext xmlns:x15="http://schemas.microsoft.com/office/spreadsheetml/2010/11/main" uri="{B97F6D7D-B522-45F9-BDA1-12C45D357490}">
          <x15:cacheHierarchy aggregatedColumn="72"/>
        </ext>
      </extLst>
    </cacheHierarchy>
    <cacheHierarchy uniqueName="[Measures].[Sum of montant 2]" caption="Sum of montant 2" measure="1" displayFolder="" measureGroup="depense" count="0">
      <extLst>
        <ext xmlns:x15="http://schemas.microsoft.com/office/spreadsheetml/2010/11/main" uri="{B97F6D7D-B522-45F9-BDA1-12C45D357490}">
          <x15:cacheHierarchy aggregatedColumn="12"/>
        </ext>
      </extLst>
    </cacheHierarchy>
    <cacheHierarchy uniqueName="[Measures].[Average of montant]" caption="Average of montant" measure="1" displayFolder="" measureGroup="depense" count="0">
      <extLst>
        <ext xmlns:x15="http://schemas.microsoft.com/office/spreadsheetml/2010/11/main" uri="{B97F6D7D-B522-45F9-BDA1-12C45D357490}">
          <x15:cacheHierarchy aggregatedColumn="12"/>
        </ext>
      </extLst>
    </cacheHierarchy>
    <cacheHierarchy uniqueName="[Measures].[reste]" caption="reste" measure="1" displayFolder="" measureGroup="revenue" count="0"/>
    <cacheHierarchy uniqueName="[Measures].[TotalRevenue]" caption="TotalRevenue" measure="1" displayFolder="" measureGroup="revenuXYZ" count="0" oneField="1">
      <fieldsUsage count="1">
        <fieldUsage x="2"/>
      </fieldsUsage>
    </cacheHierarchy>
    <cacheHierarchy uniqueName="[Measures].[TotalDepense]" caption="TotalDepense" measure="1" displayFolder="" measureGroup="depense" count="0" oneField="1">
      <fieldsUsage count="1">
        <fieldUsage x="0"/>
      </fieldsUsage>
    </cacheHierarchy>
    <cacheHierarchy uniqueName="[Measures].[TotalReste]" caption="TotalReste" measure="1" displayFolder="" measureGroup="depense" count="0" oneField="1">
      <fieldsUsage count="1">
        <fieldUsage x="1"/>
      </fieldsUsage>
    </cacheHierarchy>
    <cacheHierarchy uniqueName="[Measures].[10% du Revenu]" caption="10% du Revenu" measure="1" displayFolder="" measureGroup="revenue" count="0"/>
    <cacheHierarchy uniqueName="[Measures].[20% du Revenu]" caption="20% du Revenu" measure="1" displayFolder="" measureGroup="revenue" count="0"/>
    <cacheHierarchy uniqueName="[Measures].[Epargne]" caption="Epargne" measure="1" displayFolder="" measureGroup="revenue" count="0"/>
    <cacheHierarchy uniqueName="[Measures].[Reste Depensable]" caption="Reste Depensable" measure="1" displayFolder="" measureGroup="revenuXYZ" count="0"/>
    <cacheHierarchy uniqueName="[Measures].[dime]" caption="dime" measure="1" displayFolder="" measureGroup="revenuXYZ" count="0"/>
    <cacheHierarchy uniqueName="[Measures].[__XL_Count revenue]" caption="__XL_Count revenue" measure="1" displayFolder="" measureGroup="revenue" count="0" hidden="1"/>
    <cacheHierarchy uniqueName="[Measures].[__XL_Count maison]" caption="__XL_Count maison" measure="1" displayFolder="" measureGroup="maison" count="0" hidden="1"/>
    <cacheHierarchy uniqueName="[Measures].[__XL_Count nourriture]" caption="__XL_Count nourriture" measure="1" displayFolder="" measureGroup="nourriture" count="0" hidden="1"/>
    <cacheHierarchy uniqueName="[Measures].[__XL_Count transport]" caption="__XL_Count transport" measure="1" displayFolder="" measureGroup="transport" count="0" hidden="1"/>
    <cacheHierarchy uniqueName="[Measures].[__XL_Count revenuXYZ]" caption="__XL_Count revenuXYZ" measure="1" displayFolder="" measureGroup="revenuXYZ" count="0" hidden="1"/>
    <cacheHierarchy uniqueName="[Measures].[__XL_Count depense]" caption="__XL_Count depense" measure="1" displayFolder="" measureGroup="depense" count="0" hidden="1"/>
    <cacheHierarchy uniqueName="[Measures].[__XL_Count Table14]" caption="__XL_Count Table14" measure="1" displayFolder="" measureGroup="Date" count="0" hidden="1"/>
    <cacheHierarchy uniqueName="[Measures].[__XL_Count Epargne]" caption="__XL_Count Epargne" measure="1" displayFolder="" measureGroup="Epargne" count="0" hidden="1"/>
    <cacheHierarchy uniqueName="[Measures].[__XL_Count dime]" caption="__XL_Count dime" measure="1" displayFolder="" measureGroup="dime" count="0" hidden="1"/>
    <cacheHierarchy uniqueName="[Measures].[__No measures defined]" caption="__No measures defined" measure="1" displayFolder="" count="0" hidden="1"/>
  </cacheHierarchies>
  <kpis count="0"/>
  <dimensions count="10">
    <dimension name="Date" uniqueName="[Date]" caption="Date"/>
    <dimension name="depense" uniqueName="[depense]" caption="depense"/>
    <dimension name="dime" uniqueName="[dime]" caption="dime"/>
    <dimension name="Epargne" uniqueName="[Epargne]" caption="Epargne"/>
    <dimension name="maison" uniqueName="[maison]" caption="maison"/>
    <dimension measure="1" name="Measures" uniqueName="[Measures]" caption="Measures"/>
    <dimension name="nourriture" uniqueName="[nourriture]" caption="nourriture"/>
    <dimension name="revenue" uniqueName="[revenue]" caption="revenue"/>
    <dimension name="revenuXYZ" uniqueName="[revenuXYZ]" caption="revenuXYZ"/>
    <dimension name="transport" uniqueName="[transport]" caption="transport"/>
  </dimensions>
  <measureGroups count="9">
    <measureGroup name="Date" caption="Date"/>
    <measureGroup name="depense" caption="depense"/>
    <measureGroup name="dime" caption="dime"/>
    <measureGroup name="Epargne" caption="Epargne"/>
    <measureGroup name="maison" caption="maison"/>
    <measureGroup name="nourriture" caption="nourriture"/>
    <measureGroup name="revenue" caption="revenue"/>
    <measureGroup name="revenuXYZ" caption="revenuXYZ"/>
    <measureGroup name="transport" caption="transport"/>
  </measureGroups>
  <maps count="13">
    <map measureGroup="0" dimension="0"/>
    <map measureGroup="1" dimension="0"/>
    <map measureGroup="1" dimension="1"/>
    <map measureGroup="2" dimension="0"/>
    <map measureGroup="2" dimension="2"/>
    <map measureGroup="3" dimension="0"/>
    <map measureGroup="3" dimension="3"/>
    <map measureGroup="4" dimension="4"/>
    <map measureGroup="5" dimension="6"/>
    <map measureGroup="6" dimension="7"/>
    <map measureGroup="7" dimension="0"/>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504.703326736111" backgroundQuery="1" createdVersion="8" refreshedVersion="8" minRefreshableVersion="3" recordCount="0" supportSubquery="1" supportAdvancedDrill="1" xr:uid="{93CBB688-5A89-4375-B6C5-8A59F03FB55F}">
  <cacheSource type="external" connectionId="1"/>
  <cacheFields count="5">
    <cacheField name="[Measures].[TotalRevenue]" caption="TotalRevenue" numFmtId="0" hierarchy="95" level="32767"/>
    <cacheField name="[revenuXYZ].[categorie].[categorie]" caption="categorie" numFmtId="0" hierarchy="70" level="1">
      <sharedItems count="4">
        <s v="Don"/>
        <s v="Freelancing"/>
        <s v="Salaire"/>
        <s v="Autres" u="1"/>
      </sharedItems>
    </cacheField>
    <cacheField name="[Date].[Date (Year)].[Date (Year)]" caption="Date (Year)" numFmtId="0" hierarchy="1" level="1">
      <sharedItems containsSemiMixedTypes="0" containsNonDate="0" containsString="0"/>
    </cacheField>
    <cacheField name="[Date].[Date (Month)].[Date (Month)]" caption="Date (Month)" numFmtId="0" hierarchy="3" level="1">
      <sharedItems containsSemiMixedTypes="0" containsNonDate="0" containsString="0"/>
    </cacheField>
    <cacheField name="[depense].[Caegorie].[Caegorie]" caption="Caegorie" numFmtId="0" hierarchy="10" level="1">
      <sharedItems containsSemiMixedTypes="0" containsNonDate="0" containsString="0"/>
    </cacheField>
  </cacheFields>
  <cacheHierarchies count="113">
    <cacheHierarchy uniqueName="[Date].[Date]" caption="Date" attribute="1" time="1" defaultMemberUniqueName="[Date].[Date].[All]" allUniqueName="[Date].[Date].[All]" dimensionUniqueName="[Date]" displayFolder="" count="0" memberValueDatatype="7" unbalanced="0"/>
    <cacheHierarchy uniqueName="[Date].[Date (Year)]" caption="Date (Year)" attribute="1" defaultMemberUniqueName="[Date].[Date (Year)].[All]" allUniqueName="[Date].[Date (Year)].[All]" dimensionUniqueName="[Date]" displayFolder="" count="2" memberValueDatatype="130" unbalanced="0">
      <fieldsUsage count="2">
        <fieldUsage x="-1"/>
        <fieldUsage x="2"/>
      </fieldsUsage>
    </cacheHierarchy>
    <cacheHierarchy uniqueName="[Date].[Date (Quarter)]" caption="Date (Quarter)" attribute="1" defaultMemberUniqueName="[Date].[Date (Quarter)].[All]" allUniqueName="[Date].[Date (Quarter)].[All]" dimensionUniqueName="[Date]" displayFolder="" count="0" memberValueDatatype="130" unbalanced="0"/>
    <cacheHierarchy uniqueName="[Date].[Date (Month)]" caption="Date (Month)" attribute="1" defaultMemberUniqueName="[Date].[Date (Month)].[All]" allUniqueName="[Date].[Date (Month)].[All]" dimensionUniqueName="[Date]" displayFolder="" count="2" memberValueDatatype="130" unbalanced="0">
      <fieldsUsage count="2">
        <fieldUsage x="-1"/>
        <fieldUsage x="3"/>
      </fieldsUsage>
    </cacheHierarchy>
    <cacheHierarchy uniqueName="[Date].[week]" caption="week" attribute="1" defaultMemberUniqueName="[Date].[week].[All]" allUniqueName="[Date].[week].[All]" dimensionUniqueName="[Date]" displayFolder="" count="0" memberValueDatatype="130" unbalanced="0"/>
    <cacheHierarchy uniqueName="[Date].[Mois]" caption="Mois" attribute="1" defaultMemberUniqueName="[Date].[Mois].[All]" allUniqueName="[Date].[Mois].[All]" dimensionUniqueName="[Date]" displayFolder="" count="0" memberValueDatatype="20" unbalanced="0"/>
    <cacheHierarchy uniqueName="[Date].[Nun_Month]" caption="Nun_Month" attribute="1" defaultMemberUniqueName="[Date].[Nun_Month].[All]" allUniqueName="[Date].[Nun_Month].[All]" dimensionUniqueName="[Date]" displayFolder="" count="0" memberValueDatatype="130" unbalanced="0"/>
    <cacheHierarchy uniqueName="[depense].[Date]" caption="Date" attribute="1" time="1" defaultMemberUniqueName="[depense].[Date].[All]" allUniqueName="[depense].[Date].[All]" dimensionUniqueName="[depense]" displayFolder="" count="0" memberValueDatatype="7" unbalanced="0"/>
    <cacheHierarchy uniqueName="[depense].[mois]" caption="mois" attribute="1" defaultMemberUniqueName="[depense].[mois].[All]" allUniqueName="[depense].[mois].[All]" dimensionUniqueName="[depense]" displayFolder="" count="0" memberValueDatatype="20" unbalanced="0"/>
    <cacheHierarchy uniqueName="[depense].[source]" caption="source" attribute="1" defaultMemberUniqueName="[depense].[source].[All]" allUniqueName="[depense].[source].[All]" dimensionUniqueName="[depense]" displayFolder="" count="0" memberValueDatatype="130" unbalanced="0"/>
    <cacheHierarchy uniqueName="[depense].[Caegorie]" caption="Caegorie" attribute="1" defaultMemberUniqueName="[depense].[Caegorie].[All]" allUniqueName="[depense].[Caegorie].[All]" dimensionUniqueName="[depense]" displayFolder="" count="2" memberValueDatatype="130" unbalanced="0">
      <fieldsUsage count="2">
        <fieldUsage x="-1"/>
        <fieldUsage x="4"/>
      </fieldsUsage>
    </cacheHierarchy>
    <cacheHierarchy uniqueName="[depense].[Description]" caption="Description" attribute="1" defaultMemberUniqueName="[depense].[Description].[All]" allUniqueName="[depense].[Description].[All]" dimensionUniqueName="[depense]" displayFolder="" count="0" memberValueDatatype="130" unbalanced="0"/>
    <cacheHierarchy uniqueName="[depense].[montant]" caption="montant" attribute="1" defaultMemberUniqueName="[depense].[montant].[All]" allUniqueName="[depense].[montant].[All]" dimensionUniqueName="[depense]" displayFolder="" count="0" memberValueDatatype="20" unbalanced="0"/>
    <cacheHierarchy uniqueName="[depense].[montant_CFA]" caption="montant_CFA" attribute="1" defaultMemberUniqueName="[depense].[montant_CFA].[All]" allUniqueName="[depense].[montant_CFA].[All]" dimensionUniqueName="[depense]" displayFolder="" count="0" memberValueDatatype="20" unbalanced="0"/>
    <cacheHierarchy uniqueName="[depense].[ID]" caption="ID" attribute="1" defaultMemberUniqueName="[depense].[ID].[All]" allUniqueName="[depense].[ID].[All]" dimensionUniqueName="[depense]" displayFolder="" count="0" memberValueDatatype="20" unbalanced="0"/>
    <cacheHierarchy uniqueName="[dime].[Date]" caption="Date" attribute="1" time="1" defaultMemberUniqueName="[dime].[Date].[All]" allUniqueName="[dime].[Date].[All]" dimensionUniqueName="[dime]" displayFolder="" count="0" memberValueDatatype="7" unbalanced="0"/>
    <cacheHierarchy uniqueName="[dime].[ID_revenue]" caption="ID_revenue" attribute="1" defaultMemberUniqueName="[dime].[ID_revenue].[All]" allUniqueName="[dime].[ID_revenue].[All]" dimensionUniqueName="[dime]" displayFolder="" count="0" memberValueDatatype="20" unbalanced="0"/>
    <cacheHierarchy uniqueName="[dime].[Description]" caption="Description" attribute="1" defaultMemberUniqueName="[dime].[Description].[All]" allUniqueName="[dime].[Description].[All]" dimensionUniqueName="[dime]" displayFolder="" count="0" memberValueDatatype="130" unbalanced="0"/>
    <cacheHierarchy uniqueName="[dime].[source]" caption="source" attribute="1" defaultMemberUniqueName="[dime].[source].[All]" allUniqueName="[dime].[source].[All]" dimensionUniqueName="[dime]" displayFolder="" count="0" memberValueDatatype="130" unbalanced="0"/>
    <cacheHierarchy uniqueName="[dime].[montant]" caption="montant" attribute="1" defaultMemberUniqueName="[dime].[montant].[All]" allUniqueName="[dime].[montant].[All]" dimensionUniqueName="[dime]" displayFolder="" count="0" memberValueDatatype="5" unbalanced="0"/>
    <cacheHierarchy uniqueName="[Epargne].[ID]" caption="ID" attribute="1" defaultMemberUniqueName="[Epargne].[ID].[All]" allUniqueName="[Epargne].[ID].[All]" dimensionUniqueName="[Epargne]" displayFolder="" count="0" memberValueDatatype="20" unbalanced="0"/>
    <cacheHierarchy uniqueName="[Epargne].[date]" caption="date" attribute="1" time="1" defaultMemberUniqueName="[Epargne].[date].[All]" allUniqueName="[Epargne].[date].[All]" dimensionUniqueName="[Epargne]" displayFolder="" count="0" memberValueDatatype="7" unbalanced="0"/>
    <cacheHierarchy uniqueName="[Epargne].[source]" caption="source" attribute="1" defaultMemberUniqueName="[Epargne].[source].[All]" allUniqueName="[Epargne].[source].[All]" dimensionUniqueName="[Epargne]" displayFolder="" count="0" memberValueDatatype="130" unbalanced="0"/>
    <cacheHierarchy uniqueName="[Epargne].[Description]" caption="Description" attribute="1" defaultMemberUniqueName="[Epargne].[Description].[All]" allUniqueName="[Epargne].[Description].[All]" dimensionUniqueName="[Epargne]" displayFolder="" count="0" memberValueDatatype="130" unbalanced="0"/>
    <cacheHierarchy uniqueName="[Epargne].[montant]" caption="montant" attribute="1" defaultMemberUniqueName="[Epargne].[montant].[All]" allUniqueName="[Epargne].[montant].[All]" dimensionUniqueName="[Epargne]" displayFolder="" count="0" memberValueDatatype="5" unbalanced="0"/>
    <cacheHierarchy uniqueName="[Epargne].[montant_CFA]" caption="montant_CFA" attribute="1" defaultMemberUniqueName="[Epargne].[montant_CFA].[All]" allUniqueName="[Epargne].[montant_CFA].[All]" dimensionUniqueName="[Epargne]" displayFolder="" count="0" memberValueDatatype="5" unbalanced="0"/>
    <cacheHierarchy uniqueName="[maison].[Colonne1]" caption="Colonne1" attribute="1" defaultMemberUniqueName="[maison].[Colonne1].[All]" allUniqueName="[maison].[Colonne1].[All]" dimensionUniqueName="[maison]" displayFolder="" count="0" memberValueDatatype="130" unbalanced="0"/>
    <cacheHierarchy uniqueName="[maison].[Colonne2]" caption="Colonne2" attribute="1" defaultMemberUniqueName="[maison].[Colonne2].[All]" allUniqueName="[maison].[Colonne2].[All]" dimensionUniqueName="[maison]" displayFolder="" count="0" memberValueDatatype="20" unbalanced="0"/>
    <cacheHierarchy uniqueName="[maison].[Colonne3]" caption="Colonne3" attribute="1" defaultMemberUniqueName="[maison].[Colonne3].[All]" allUniqueName="[maison].[Colonne3].[All]" dimensionUniqueName="[maison]" displayFolder="" count="0" memberValueDatatype="20" unbalanced="0"/>
    <cacheHierarchy uniqueName="[maison].[Colonne4]" caption="Colonne4" attribute="1" defaultMemberUniqueName="[maison].[Colonne4].[All]" allUniqueName="[maison].[Colonne4].[All]" dimensionUniqueName="[maison]" displayFolder="" count="0" memberValueDatatype="20" unbalanced="0"/>
    <cacheHierarchy uniqueName="[maison].[Colonne5]" caption="Colonne5" attribute="1" defaultMemberUniqueName="[maison].[Colonne5].[All]" allUniqueName="[maison].[Colonne5].[All]" dimensionUniqueName="[maison]" displayFolder="" count="0" memberValueDatatype="20" unbalanced="0"/>
    <cacheHierarchy uniqueName="[maison].[Colonne6]" caption="Colonne6" attribute="1" defaultMemberUniqueName="[maison].[Colonne6].[All]" allUniqueName="[maison].[Colonne6].[All]" dimensionUniqueName="[maison]" displayFolder="" count="0" memberValueDatatype="20" unbalanced="0"/>
    <cacheHierarchy uniqueName="[maison].[Colonne7]" caption="Colonne7" attribute="1" defaultMemberUniqueName="[maison].[Colonne7].[All]" allUniqueName="[maison].[Colonne7].[All]" dimensionUniqueName="[maison]" displayFolder="" count="0" memberValueDatatype="20" unbalanced="0"/>
    <cacheHierarchy uniqueName="[maison].[Colonne8]" caption="Colonne8" attribute="1" defaultMemberUniqueName="[maison].[Colonne8].[All]" allUniqueName="[maison].[Colonne8].[All]" dimensionUniqueName="[maison]" displayFolder="" count="0" memberValueDatatype="20" unbalanced="0"/>
    <cacheHierarchy uniqueName="[maison].[Colonne9]" caption="Colonne9" attribute="1" defaultMemberUniqueName="[maison].[Colonne9].[All]" allUniqueName="[maison].[Colonne9].[All]" dimensionUniqueName="[maison]" displayFolder="" count="0" memberValueDatatype="20" unbalanced="0"/>
    <cacheHierarchy uniqueName="[maison].[Colonne10]" caption="Colonne10" attribute="1" defaultMemberUniqueName="[maison].[Colonne10].[All]" allUniqueName="[maison].[Colonne10].[All]" dimensionUniqueName="[maison]" displayFolder="" count="0" memberValueDatatype="20" unbalanced="0"/>
    <cacheHierarchy uniqueName="[maison].[Colonne11]" caption="Colonne11" attribute="1" defaultMemberUniqueName="[maison].[Colonne11].[All]" allUniqueName="[maison].[Colonne11].[All]" dimensionUniqueName="[maison]" displayFolder="" count="0" memberValueDatatype="20" unbalanced="0"/>
    <cacheHierarchy uniqueName="[maison].[Colonne12]" caption="Colonne12" attribute="1" defaultMemberUniqueName="[maison].[Colonne12].[All]" allUniqueName="[maison].[Colonne12].[All]" dimensionUniqueName="[maison]" displayFolder="" count="0" memberValueDatatype="20" unbalanced="0"/>
    <cacheHierarchy uniqueName="[maison].[Colonne13]" caption="Colonne13" attribute="1" defaultMemberUniqueName="[maison].[Colonne13].[All]" allUniqueName="[maison].[Colonne13].[All]" dimensionUniqueName="[maison]" displayFolder="" count="0" memberValueDatatype="20" unbalanced="0"/>
    <cacheHierarchy uniqueName="[maison].[Colonne14]" caption="Colonne14" attribute="1" defaultMemberUniqueName="[maison].[Colonne14].[All]" allUniqueName="[maison].[Colonne14].[All]" dimensionUniqueName="[maison]" displayFolder="" count="0" memberValueDatatype="20" unbalanced="0"/>
    <cacheHierarchy uniqueName="[nourriture].[Colonne1]" caption="Colonne1" attribute="1" defaultMemberUniqueName="[nourriture].[Colonne1].[All]" allUniqueName="[nourriture].[Colonne1].[All]" dimensionUniqueName="[nourriture]" displayFolder="" count="0" memberValueDatatype="130" unbalanced="0"/>
    <cacheHierarchy uniqueName="[nourriture].[Colonne2]" caption="Colonne2" attribute="1" defaultMemberUniqueName="[nourriture].[Colonne2].[All]" allUniqueName="[nourriture].[Colonne2].[All]" dimensionUniqueName="[nourriture]" displayFolder="" count="0" memberValueDatatype="20" unbalanced="0"/>
    <cacheHierarchy uniqueName="[nourriture].[Colonne3]" caption="Colonne3" attribute="1" defaultMemberUniqueName="[nourriture].[Colonne3].[All]" allUniqueName="[nourriture].[Colonne3].[All]" dimensionUniqueName="[nourriture]" displayFolder="" count="0" memberValueDatatype="20" unbalanced="0"/>
    <cacheHierarchy uniqueName="[nourriture].[Colonne4]" caption="Colonne4" attribute="1" defaultMemberUniqueName="[nourriture].[Colonne4].[All]" allUniqueName="[nourriture].[Colonne4].[All]" dimensionUniqueName="[nourriture]" displayFolder="" count="0" memberValueDatatype="20" unbalanced="0"/>
    <cacheHierarchy uniqueName="[nourriture].[Colonne5]" caption="Colonne5" attribute="1" defaultMemberUniqueName="[nourriture].[Colonne5].[All]" allUniqueName="[nourriture].[Colonne5].[All]" dimensionUniqueName="[nourriture]" displayFolder="" count="0" memberValueDatatype="20" unbalanced="0"/>
    <cacheHierarchy uniqueName="[nourriture].[Colonne6]" caption="Colonne6" attribute="1" defaultMemberUniqueName="[nourriture].[Colonne6].[All]" allUniqueName="[nourriture].[Colonne6].[All]" dimensionUniqueName="[nourriture]" displayFolder="" count="0" memberValueDatatype="20" unbalanced="0"/>
    <cacheHierarchy uniqueName="[nourriture].[Colonne7]" caption="Colonne7" attribute="1" defaultMemberUniqueName="[nourriture].[Colonne7].[All]" allUniqueName="[nourriture].[Colonne7].[All]" dimensionUniqueName="[nourriture]" displayFolder="" count="0" memberValueDatatype="20" unbalanced="0"/>
    <cacheHierarchy uniqueName="[nourriture].[Colonne8]" caption="Colonne8" attribute="1" defaultMemberUniqueName="[nourriture].[Colonne8].[All]" allUniqueName="[nourriture].[Colonne8].[All]" dimensionUniqueName="[nourriture]" displayFolder="" count="0" memberValueDatatype="20" unbalanced="0"/>
    <cacheHierarchy uniqueName="[nourriture].[Colonne9]" caption="Colonne9" attribute="1" defaultMemberUniqueName="[nourriture].[Colonne9].[All]" allUniqueName="[nourriture].[Colonne9].[All]" dimensionUniqueName="[nourriture]" displayFolder="" count="0" memberValueDatatype="20" unbalanced="0"/>
    <cacheHierarchy uniqueName="[nourriture].[Colonne10]" caption="Colonne10" attribute="1" defaultMemberUniqueName="[nourriture].[Colonne10].[All]" allUniqueName="[nourriture].[Colonne10].[All]" dimensionUniqueName="[nourriture]" displayFolder="" count="0" memberValueDatatype="20" unbalanced="0"/>
    <cacheHierarchy uniqueName="[nourriture].[Colonne11]" caption="Colonne11" attribute="1" defaultMemberUniqueName="[nourriture].[Colonne11].[All]" allUniqueName="[nourriture].[Colonne11].[All]" dimensionUniqueName="[nourriture]" displayFolder="" count="0" memberValueDatatype="20" unbalanced="0"/>
    <cacheHierarchy uniqueName="[nourriture].[Colonne12]" caption="Colonne12" attribute="1" defaultMemberUniqueName="[nourriture].[Colonne12].[All]" allUniqueName="[nourriture].[Colonne12].[All]" dimensionUniqueName="[nourriture]" displayFolder="" count="0" memberValueDatatype="20" unbalanced="0"/>
    <cacheHierarchy uniqueName="[nourriture].[Colonne13]" caption="Colonne13" attribute="1" defaultMemberUniqueName="[nourriture].[Colonne13].[All]" allUniqueName="[nourriture].[Colonne13].[All]" dimensionUniqueName="[nourriture]" displayFolder="" count="0" memberValueDatatype="20" unbalanced="0"/>
    <cacheHierarchy uniqueName="[nourriture].[Colonne14]" caption="Colonne14" attribute="1" defaultMemberUniqueName="[nourriture].[Colonne14].[All]" allUniqueName="[nourriture].[Colonne14].[All]" dimensionUniqueName="[nourriture]" displayFolder="" count="0" memberValueDatatype="20" unbalanced="0"/>
    <cacheHierarchy uniqueName="[revenue].[Elements]" caption="Elements" attribute="1" defaultMemberUniqueName="[revenue].[Elements].[All]" allUniqueName="[revenue].[Elements].[All]" dimensionUniqueName="[revenue]" displayFolder="" count="0" memberValueDatatype="130" unbalanced="0"/>
    <cacheHierarchy uniqueName="[revenue].[Janv.]" caption="Janv." attribute="1" defaultMemberUniqueName="[revenue].[Janv.].[All]" allUniqueName="[revenue].[Janv.].[All]" dimensionUniqueName="[revenue]" displayFolder="" count="0" memberValueDatatype="20" unbalanced="0"/>
    <cacheHierarchy uniqueName="[revenue].[Fev.]" caption="Fev." attribute="1" defaultMemberUniqueName="[revenue].[Fev.].[All]" allUniqueName="[revenue].[Fev.].[All]" dimensionUniqueName="[revenue]" displayFolder="" count="0" memberValueDatatype="20" unbalanced="0"/>
    <cacheHierarchy uniqueName="[revenue].[Mars.]" caption="Mars." attribute="1" defaultMemberUniqueName="[revenue].[Mars.].[All]" allUniqueName="[revenue].[Mars.].[All]" dimensionUniqueName="[revenue]" displayFolder="" count="0" memberValueDatatype="20" unbalanced="0"/>
    <cacheHierarchy uniqueName="[revenue].[Avril]" caption="Avril" attribute="1" defaultMemberUniqueName="[revenue].[Avril].[All]" allUniqueName="[revenue].[Avril].[All]" dimensionUniqueName="[revenue]" displayFolder="" count="0" memberValueDatatype="20" unbalanced="0"/>
    <cacheHierarchy uniqueName="[revenue].[Mai]" caption="Mai" attribute="1" defaultMemberUniqueName="[revenue].[Mai].[All]" allUniqueName="[revenue].[Mai].[All]" dimensionUniqueName="[revenue]" displayFolder="" count="0" memberValueDatatype="20" unbalanced="0"/>
    <cacheHierarchy uniqueName="[revenue].[Juin]" caption="Juin" attribute="1" defaultMemberUniqueName="[revenue].[Juin].[All]" allUniqueName="[revenue].[Juin].[All]" dimensionUniqueName="[revenue]" displayFolder="" count="0" memberValueDatatype="20" unbalanced="0"/>
    <cacheHierarchy uniqueName="[revenue].[Juillet]" caption="Juillet" attribute="1" defaultMemberUniqueName="[revenue].[Juillet].[All]" allUniqueName="[revenue].[Juillet].[All]" dimensionUniqueName="[revenue]" displayFolder="" count="0" memberValueDatatype="20" unbalanced="0"/>
    <cacheHierarchy uniqueName="[revenue].[Aout]" caption="Aout" attribute="1" defaultMemberUniqueName="[revenue].[Aout].[All]" allUniqueName="[revenue].[Aout].[All]" dimensionUniqueName="[revenue]" displayFolder="" count="0" memberValueDatatype="20" unbalanced="0"/>
    <cacheHierarchy uniqueName="[revenue].[Sept.]" caption="Sept." attribute="1" defaultMemberUniqueName="[revenue].[Sept.].[All]" allUniqueName="[revenue].[Sept.].[All]" dimensionUniqueName="[revenue]" displayFolder="" count="0" memberValueDatatype="20" unbalanced="0"/>
    <cacheHierarchy uniqueName="[revenue].[Oct.]" caption="Oct." attribute="1" defaultMemberUniqueName="[revenue].[Oct.].[All]" allUniqueName="[revenue].[Oct.].[All]" dimensionUniqueName="[revenue]" displayFolder="" count="0" memberValueDatatype="20" unbalanced="0"/>
    <cacheHierarchy uniqueName="[revenue].[Nov.]" caption="Nov." attribute="1" defaultMemberUniqueName="[revenue].[Nov.].[All]" allUniqueName="[revenue].[Nov.].[All]" dimensionUniqueName="[revenue]" displayFolder="" count="0" memberValueDatatype="20" unbalanced="0"/>
    <cacheHierarchy uniqueName="[revenue].[Dec]" caption="Dec" attribute="1" defaultMemberUniqueName="[revenue].[Dec].[All]" allUniqueName="[revenue].[Dec].[All]" dimensionUniqueName="[revenue]" displayFolder="" count="0" memberValueDatatype="20" unbalanced="0"/>
    <cacheHierarchy uniqueName="[revenue].[Year to Date]" caption="Year to Date" attribute="1" defaultMemberUniqueName="[revenue].[Year to Date].[All]" allUniqueName="[revenue].[Year to Date].[All]" dimensionUniqueName="[revenue]" displayFolder="" count="0" memberValueDatatype="20" unbalanced="0"/>
    <cacheHierarchy uniqueName="[revenuXYZ].[Date]" caption="Date" attribute="1" time="1" defaultMemberUniqueName="[revenuXYZ].[Date].[All]" allUniqueName="[revenuXYZ].[Date].[All]" dimensionUniqueName="[revenuXYZ]" displayFolder="" count="0" memberValueDatatype="7" unbalanced="0"/>
    <cacheHierarchy uniqueName="[revenuXYZ].[mois]" caption="mois" attribute="1" defaultMemberUniqueName="[revenuXYZ].[mois].[All]" allUniqueName="[revenuXYZ].[mois].[All]" dimensionUniqueName="[revenuXYZ]" displayFolder="" count="0" memberValueDatatype="20" unbalanced="0"/>
    <cacheHierarchy uniqueName="[revenuXYZ].[categorie]" caption="categorie" attribute="1" defaultMemberUniqueName="[revenuXYZ].[categorie].[All]" allUniqueName="[revenuXYZ].[categorie].[All]" dimensionUniqueName="[revenuXYZ]" displayFolder="" count="2" memberValueDatatype="130" unbalanced="0">
      <fieldsUsage count="2">
        <fieldUsage x="-1"/>
        <fieldUsage x="1"/>
      </fieldsUsage>
    </cacheHierarchy>
    <cacheHierarchy uniqueName="[revenuXYZ].[Description]" caption="Description" attribute="1" defaultMemberUniqueName="[revenuXYZ].[Description].[All]" allUniqueName="[revenuXYZ].[Description].[All]" dimensionUniqueName="[revenuXYZ]" displayFolder="" count="0" memberValueDatatype="130" unbalanced="0"/>
    <cacheHierarchy uniqueName="[revenuXYZ].[montant]" caption="montant" attribute="1" defaultMemberUniqueName="[revenuXYZ].[montant].[All]" allUniqueName="[revenuXYZ].[montant].[All]" dimensionUniqueName="[revenuXYZ]" displayFolder="" count="0" memberValueDatatype="20" unbalanced="0"/>
    <cacheHierarchy uniqueName="[revenuXYZ].[montant_CFA]" caption="montant_CFA" attribute="1" defaultMemberUniqueName="[revenuXYZ].[montant_CFA].[All]" allUniqueName="[revenuXYZ].[montant_CFA].[All]" dimensionUniqueName="[revenuXYZ]" displayFolder="" count="0" memberValueDatatype="5" unbalanced="0"/>
    <cacheHierarchy uniqueName="[revenuXYZ].[source]" caption="source" attribute="1" defaultMemberUniqueName="[revenuXYZ].[source].[All]" allUniqueName="[revenuXYZ].[source].[All]" dimensionUniqueName="[revenuXYZ]" displayFolder="" count="0" memberValueDatatype="130" unbalanced="0"/>
    <cacheHierarchy uniqueName="[revenuXYZ].[ID]" caption="ID" attribute="1" defaultMemberUniqueName="[revenuXYZ].[ID].[All]" allUniqueName="[revenuXYZ].[ID].[All]" dimensionUniqueName="[revenuXYZ]" displayFolder="" count="0" memberValueDatatype="20" unbalanced="0"/>
    <cacheHierarchy uniqueName="[transport].[Colonne1]" caption="Colonne1" attribute="1" defaultMemberUniqueName="[transport].[Colonne1].[All]" allUniqueName="[transport].[Colonne1].[All]" dimensionUniqueName="[transport]" displayFolder="" count="0" memberValueDatatype="130" unbalanced="0"/>
    <cacheHierarchy uniqueName="[transport].[Colonne2]" caption="Colonne2" attribute="1" defaultMemberUniqueName="[transport].[Colonne2].[All]" allUniqueName="[transport].[Colonne2].[All]" dimensionUniqueName="[transport]" displayFolder="" count="0" memberValueDatatype="20" unbalanced="0"/>
    <cacheHierarchy uniqueName="[transport].[Colonne3]" caption="Colonne3" attribute="1" defaultMemberUniqueName="[transport].[Colonne3].[All]" allUniqueName="[transport].[Colonne3].[All]" dimensionUniqueName="[transport]" displayFolder="" count="0" memberValueDatatype="20" unbalanced="0"/>
    <cacheHierarchy uniqueName="[transport].[Colonne4]" caption="Colonne4" attribute="1" defaultMemberUniqueName="[transport].[Colonne4].[All]" allUniqueName="[transport].[Colonne4].[All]" dimensionUniqueName="[transport]" displayFolder="" count="0" memberValueDatatype="20" unbalanced="0"/>
    <cacheHierarchy uniqueName="[transport].[Colonne5]" caption="Colonne5" attribute="1" defaultMemberUniqueName="[transport].[Colonne5].[All]" allUniqueName="[transport].[Colonne5].[All]" dimensionUniqueName="[transport]" displayFolder="" count="0" memberValueDatatype="20" unbalanced="0"/>
    <cacheHierarchy uniqueName="[transport].[Colonne6]" caption="Colonne6" attribute="1" defaultMemberUniqueName="[transport].[Colonne6].[All]" allUniqueName="[transport].[Colonne6].[All]" dimensionUniqueName="[transport]" displayFolder="" count="0" memberValueDatatype="20" unbalanced="0"/>
    <cacheHierarchy uniqueName="[transport].[Colonne7]" caption="Colonne7" attribute="1" defaultMemberUniqueName="[transport].[Colonne7].[All]" allUniqueName="[transport].[Colonne7].[All]" dimensionUniqueName="[transport]" displayFolder="" count="0" memberValueDatatype="20" unbalanced="0"/>
    <cacheHierarchy uniqueName="[transport].[Colonne8]" caption="Colonne8" attribute="1" defaultMemberUniqueName="[transport].[Colonne8].[All]" allUniqueName="[transport].[Colonne8].[All]" dimensionUniqueName="[transport]" displayFolder="" count="0" memberValueDatatype="20" unbalanced="0"/>
    <cacheHierarchy uniqueName="[transport].[Colonne9]" caption="Colonne9" attribute="1" defaultMemberUniqueName="[transport].[Colonne9].[All]" allUniqueName="[transport].[Colonne9].[All]" dimensionUniqueName="[transport]" displayFolder="" count="0" memberValueDatatype="20" unbalanced="0"/>
    <cacheHierarchy uniqueName="[transport].[Colonne10]" caption="Colonne10" attribute="1" defaultMemberUniqueName="[transport].[Colonne10].[All]" allUniqueName="[transport].[Colonne10].[All]" dimensionUniqueName="[transport]" displayFolder="" count="0" memberValueDatatype="20" unbalanced="0"/>
    <cacheHierarchy uniqueName="[transport].[Colonne11]" caption="Colonne11" attribute="1" defaultMemberUniqueName="[transport].[Colonne11].[All]" allUniqueName="[transport].[Colonne11].[All]" dimensionUniqueName="[transport]" displayFolder="" count="0" memberValueDatatype="20" unbalanced="0"/>
    <cacheHierarchy uniqueName="[transport].[Colonne12]" caption="Colonne12" attribute="1" defaultMemberUniqueName="[transport].[Colonne12].[All]" allUniqueName="[transport].[Colonne12].[All]" dimensionUniqueName="[transport]" displayFolder="" count="0" memberValueDatatype="20" unbalanced="0"/>
    <cacheHierarchy uniqueName="[transport].[Colonne13]" caption="Colonne13" attribute="1" defaultMemberUniqueName="[transport].[Colonne13].[All]" allUniqueName="[transport].[Colonne13].[All]" dimensionUniqueName="[transport]" displayFolder="" count="0" memberValueDatatype="20" unbalanced="0"/>
    <cacheHierarchy uniqueName="[transport].[Colonne14]" caption="Colonne14" attribute="1" defaultMemberUniqueName="[transport].[Colonne14].[All]" allUniqueName="[transport].[Colonne14].[All]" dimensionUniqueName="[transport]" displayFolder="" count="0" memberValueDatatype="20" unbalanced="0"/>
    <cacheHierarchy uniqueName="[Date].[Date (Month Index)]" caption="Date (Month Index)" attribute="1" defaultMemberUniqueName="[Date].[Date (Month Index)].[All]" allUniqueName="[Date].[Date (Month Index)].[All]" dimensionUniqueName="[Date]" displayFolder="" count="0" memberValueDatatype="20" unbalanced="0" hidden="1"/>
    <cacheHierarchy uniqueName="[Measures].[Sum of montant]" caption="Sum of montant" measure="1" displayFolder="" measureGroup="revenuXYZ" count="0">
      <extLst>
        <ext xmlns:x15="http://schemas.microsoft.com/office/spreadsheetml/2010/11/main" uri="{B97F6D7D-B522-45F9-BDA1-12C45D357490}">
          <x15:cacheHierarchy aggregatedColumn="72"/>
        </ext>
      </extLst>
    </cacheHierarchy>
    <cacheHierarchy uniqueName="[Measures].[Sum of montant 2]" caption="Sum of montant 2" measure="1" displayFolder="" measureGroup="depense" count="0">
      <extLst>
        <ext xmlns:x15="http://schemas.microsoft.com/office/spreadsheetml/2010/11/main" uri="{B97F6D7D-B522-45F9-BDA1-12C45D357490}">
          <x15:cacheHierarchy aggregatedColumn="12"/>
        </ext>
      </extLst>
    </cacheHierarchy>
    <cacheHierarchy uniqueName="[Measures].[Average of montant]" caption="Average of montant" measure="1" displayFolder="" measureGroup="depense" count="0">
      <extLst>
        <ext xmlns:x15="http://schemas.microsoft.com/office/spreadsheetml/2010/11/main" uri="{B97F6D7D-B522-45F9-BDA1-12C45D357490}">
          <x15:cacheHierarchy aggregatedColumn="12"/>
        </ext>
      </extLst>
    </cacheHierarchy>
    <cacheHierarchy uniqueName="[Measures].[reste]" caption="reste" measure="1" displayFolder="" measureGroup="revenue" count="0"/>
    <cacheHierarchy uniqueName="[Measures].[TotalRevenue]" caption="TotalRevenue" measure="1" displayFolder="" measureGroup="revenuXYZ" count="0" oneField="1">
      <fieldsUsage count="1">
        <fieldUsage x="0"/>
      </fieldsUsage>
    </cacheHierarchy>
    <cacheHierarchy uniqueName="[Measures].[TotalDepense]" caption="TotalDepense" measure="1" displayFolder="" measureGroup="depense" count="0"/>
    <cacheHierarchy uniqueName="[Measures].[TotalReste]" caption="TotalReste" measure="1" displayFolder="" measureGroup="depense" count="0"/>
    <cacheHierarchy uniqueName="[Measures].[10% du Revenu]" caption="10% du Revenu" measure="1" displayFolder="" measureGroup="revenue" count="0"/>
    <cacheHierarchy uniqueName="[Measures].[20% du Revenu]" caption="20% du Revenu" measure="1" displayFolder="" measureGroup="revenue" count="0"/>
    <cacheHierarchy uniqueName="[Measures].[Epargne]" caption="Epargne" measure="1" displayFolder="" measureGroup="revenue" count="0"/>
    <cacheHierarchy uniqueName="[Measures].[Reste Depensable]" caption="Reste Depensable" measure="1" displayFolder="" measureGroup="revenuXYZ" count="0"/>
    <cacheHierarchy uniqueName="[Measures].[dime]" caption="dime" measure="1" displayFolder="" measureGroup="revenuXYZ" count="0"/>
    <cacheHierarchy uniqueName="[Measures].[__XL_Count revenue]" caption="__XL_Count revenue" measure="1" displayFolder="" measureGroup="revenue" count="0" hidden="1"/>
    <cacheHierarchy uniqueName="[Measures].[__XL_Count maison]" caption="__XL_Count maison" measure="1" displayFolder="" measureGroup="maison" count="0" hidden="1"/>
    <cacheHierarchy uniqueName="[Measures].[__XL_Count nourriture]" caption="__XL_Count nourriture" measure="1" displayFolder="" measureGroup="nourriture" count="0" hidden="1"/>
    <cacheHierarchy uniqueName="[Measures].[__XL_Count transport]" caption="__XL_Count transport" measure="1" displayFolder="" measureGroup="transport" count="0" hidden="1"/>
    <cacheHierarchy uniqueName="[Measures].[__XL_Count revenuXYZ]" caption="__XL_Count revenuXYZ" measure="1" displayFolder="" measureGroup="revenuXYZ" count="0" hidden="1"/>
    <cacheHierarchy uniqueName="[Measures].[__XL_Count depense]" caption="__XL_Count depense" measure="1" displayFolder="" measureGroup="depense" count="0" hidden="1"/>
    <cacheHierarchy uniqueName="[Measures].[__XL_Count Table14]" caption="__XL_Count Table14" measure="1" displayFolder="" measureGroup="Date" count="0" hidden="1"/>
    <cacheHierarchy uniqueName="[Measures].[__XL_Count Epargne]" caption="__XL_Count Epargne" measure="1" displayFolder="" measureGroup="Epargne" count="0" hidden="1"/>
    <cacheHierarchy uniqueName="[Measures].[__XL_Count dime]" caption="__XL_Count dime" measure="1" displayFolder="" measureGroup="dime" count="0" hidden="1"/>
    <cacheHierarchy uniqueName="[Measures].[__No measures defined]" caption="__No measures defined" measure="1" displayFolder="" count="0" hidden="1"/>
  </cacheHierarchies>
  <kpis count="0"/>
  <dimensions count="10">
    <dimension name="Date" uniqueName="[Date]" caption="Date"/>
    <dimension name="depense" uniqueName="[depense]" caption="depense"/>
    <dimension name="dime" uniqueName="[dime]" caption="dime"/>
    <dimension name="Epargne" uniqueName="[Epargne]" caption="Epargne"/>
    <dimension name="maison" uniqueName="[maison]" caption="maison"/>
    <dimension measure="1" name="Measures" uniqueName="[Measures]" caption="Measures"/>
    <dimension name="nourriture" uniqueName="[nourriture]" caption="nourriture"/>
    <dimension name="revenue" uniqueName="[revenue]" caption="revenue"/>
    <dimension name="revenuXYZ" uniqueName="[revenuXYZ]" caption="revenuXYZ"/>
    <dimension name="transport" uniqueName="[transport]" caption="transport"/>
  </dimensions>
  <measureGroups count="9">
    <measureGroup name="Date" caption="Date"/>
    <measureGroup name="depense" caption="depense"/>
    <measureGroup name="dime" caption="dime"/>
    <measureGroup name="Epargne" caption="Epargne"/>
    <measureGroup name="maison" caption="maison"/>
    <measureGroup name="nourriture" caption="nourriture"/>
    <measureGroup name="revenue" caption="revenue"/>
    <measureGroup name="revenuXYZ" caption="revenuXYZ"/>
    <measureGroup name="transport" caption="transport"/>
  </measureGroups>
  <maps count="13">
    <map measureGroup="0" dimension="0"/>
    <map measureGroup="1" dimension="0"/>
    <map measureGroup="1" dimension="1"/>
    <map measureGroup="2" dimension="0"/>
    <map measureGroup="2" dimension="2"/>
    <map measureGroup="3" dimension="0"/>
    <map measureGroup="3" dimension="3"/>
    <map measureGroup="4" dimension="4"/>
    <map measureGroup="5" dimension="6"/>
    <map measureGroup="6" dimension="7"/>
    <map measureGroup="7" dimension="0"/>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504.70332789352" backgroundQuery="1" createdVersion="8" refreshedVersion="8" minRefreshableVersion="3" recordCount="0" supportSubquery="1" supportAdvancedDrill="1" xr:uid="{BE7E07BD-99E2-4BD4-9FC0-B37AB2952DB6}">
  <cacheSource type="external" connectionId="1"/>
  <cacheFields count="5">
    <cacheField name="[Measures].[TotalDepense]" caption="TotalDepense" numFmtId="0" hierarchy="96" level="32767"/>
    <cacheField name="[Date].[Date (Month)].[Date (Month)]" caption="Date (Month)" numFmtId="0" hierarchy="3" level="1">
      <sharedItems count="4">
        <s v="juil"/>
        <s v="janv" u="1"/>
        <s v="févr" u="1"/>
        <s v="sept" u="1"/>
      </sharedItems>
    </cacheField>
    <cacheField name="[Date].[Date (Year)].[Date (Year)]" caption="Date (Year)" numFmtId="0" hierarchy="1" level="1">
      <sharedItems containsSemiMixedTypes="0" containsNonDate="0" containsString="0"/>
    </cacheField>
    <cacheField name="[depense].[Caegorie].[Caegorie]" caption="Caegorie" numFmtId="0" hierarchy="10" level="1">
      <sharedItems containsSemiMixedTypes="0" containsNonDate="0" containsString="0"/>
    </cacheField>
    <cacheField name="[revenuXYZ].[categorie].[categorie]" caption="categorie" numFmtId="0" hierarchy="70" level="1">
      <sharedItems containsSemiMixedTypes="0" containsNonDate="0" containsString="0"/>
    </cacheField>
  </cacheFields>
  <cacheHierarchies count="113">
    <cacheHierarchy uniqueName="[Date].[Date]" caption="Date" attribute="1" time="1" defaultMemberUniqueName="[Date].[Date].[All]" allUniqueName="[Date].[Date].[All]" dimensionUniqueName="[Date]" displayFolder="" count="0" memberValueDatatype="7" unbalanced="0"/>
    <cacheHierarchy uniqueName="[Date].[Date (Year)]" caption="Date (Year)" attribute="1" defaultMemberUniqueName="[Date].[Date (Year)].[All]" allUniqueName="[Date].[Date (Year)].[All]" dimensionUniqueName="[Date]" displayFolder="" count="2" memberValueDatatype="130" unbalanced="0">
      <fieldsUsage count="2">
        <fieldUsage x="-1"/>
        <fieldUsage x="2"/>
      </fieldsUsage>
    </cacheHierarchy>
    <cacheHierarchy uniqueName="[Date].[Date (Quarter)]" caption="Date (Quarter)" attribute="1" defaultMemberUniqueName="[Date].[Date (Quarter)].[All]" allUniqueName="[Date].[Date (Quarter)].[All]" dimensionUniqueName="[Date]" displayFolder="" count="0" memberValueDatatype="130" unbalanced="0"/>
    <cacheHierarchy uniqueName="[Date].[Date (Month)]" caption="Date (Month)" attribute="1" defaultMemberUniqueName="[Date].[Date (Month)].[All]" allUniqueName="[Date].[Date (Month)].[All]" dimensionUniqueName="[Date]" displayFolder="" count="2" memberValueDatatype="130" unbalanced="0">
      <fieldsUsage count="2">
        <fieldUsage x="-1"/>
        <fieldUsage x="1"/>
      </fieldsUsage>
    </cacheHierarchy>
    <cacheHierarchy uniqueName="[Date].[week]" caption="week" attribute="1" defaultMemberUniqueName="[Date].[week].[All]" allUniqueName="[Date].[week].[All]" dimensionUniqueName="[Date]" displayFolder="" count="0" memberValueDatatype="130" unbalanced="0"/>
    <cacheHierarchy uniqueName="[Date].[Mois]" caption="Mois" attribute="1" defaultMemberUniqueName="[Date].[Mois].[All]" allUniqueName="[Date].[Mois].[All]" dimensionUniqueName="[Date]" displayFolder="" count="0" memberValueDatatype="20" unbalanced="0"/>
    <cacheHierarchy uniqueName="[Date].[Nun_Month]" caption="Nun_Month" attribute="1" defaultMemberUniqueName="[Date].[Nun_Month].[All]" allUniqueName="[Date].[Nun_Month].[All]" dimensionUniqueName="[Date]" displayFolder="" count="0" memberValueDatatype="130" unbalanced="0"/>
    <cacheHierarchy uniqueName="[depense].[Date]" caption="Date" attribute="1" time="1" defaultMemberUniqueName="[depense].[Date].[All]" allUniqueName="[depense].[Date].[All]" dimensionUniqueName="[depense]" displayFolder="" count="0" memberValueDatatype="7" unbalanced="0"/>
    <cacheHierarchy uniqueName="[depense].[mois]" caption="mois" attribute="1" defaultMemberUniqueName="[depense].[mois].[All]" allUniqueName="[depense].[mois].[All]" dimensionUniqueName="[depense]" displayFolder="" count="0" memberValueDatatype="20" unbalanced="0"/>
    <cacheHierarchy uniqueName="[depense].[source]" caption="source" attribute="1" defaultMemberUniqueName="[depense].[source].[All]" allUniqueName="[depense].[source].[All]" dimensionUniqueName="[depense]" displayFolder="" count="0" memberValueDatatype="130" unbalanced="0"/>
    <cacheHierarchy uniqueName="[depense].[Caegorie]" caption="Caegorie" attribute="1" defaultMemberUniqueName="[depense].[Caegorie].[All]" allUniqueName="[depense].[Caegorie].[All]" dimensionUniqueName="[depense]" displayFolder="" count="2" memberValueDatatype="130" unbalanced="0">
      <fieldsUsage count="2">
        <fieldUsage x="-1"/>
        <fieldUsage x="3"/>
      </fieldsUsage>
    </cacheHierarchy>
    <cacheHierarchy uniqueName="[depense].[Description]" caption="Description" attribute="1" defaultMemberUniqueName="[depense].[Description].[All]" allUniqueName="[depense].[Description].[All]" dimensionUniqueName="[depense]" displayFolder="" count="0" memberValueDatatype="130" unbalanced="0"/>
    <cacheHierarchy uniqueName="[depense].[montant]" caption="montant" attribute="1" defaultMemberUniqueName="[depense].[montant].[All]" allUniqueName="[depense].[montant].[All]" dimensionUniqueName="[depense]" displayFolder="" count="0" memberValueDatatype="20" unbalanced="0"/>
    <cacheHierarchy uniqueName="[depense].[montant_CFA]" caption="montant_CFA" attribute="1" defaultMemberUniqueName="[depense].[montant_CFA].[All]" allUniqueName="[depense].[montant_CFA].[All]" dimensionUniqueName="[depense]" displayFolder="" count="0" memberValueDatatype="20" unbalanced="0"/>
    <cacheHierarchy uniqueName="[depense].[ID]" caption="ID" attribute="1" defaultMemberUniqueName="[depense].[ID].[All]" allUniqueName="[depense].[ID].[All]" dimensionUniqueName="[depense]" displayFolder="" count="0" memberValueDatatype="20" unbalanced="0"/>
    <cacheHierarchy uniqueName="[dime].[Date]" caption="Date" attribute="1" time="1" defaultMemberUniqueName="[dime].[Date].[All]" allUniqueName="[dime].[Date].[All]" dimensionUniqueName="[dime]" displayFolder="" count="0" memberValueDatatype="7" unbalanced="0"/>
    <cacheHierarchy uniqueName="[dime].[ID_revenue]" caption="ID_revenue" attribute="1" defaultMemberUniqueName="[dime].[ID_revenue].[All]" allUniqueName="[dime].[ID_revenue].[All]" dimensionUniqueName="[dime]" displayFolder="" count="0" memberValueDatatype="20" unbalanced="0"/>
    <cacheHierarchy uniqueName="[dime].[Description]" caption="Description" attribute="1" defaultMemberUniqueName="[dime].[Description].[All]" allUniqueName="[dime].[Description].[All]" dimensionUniqueName="[dime]" displayFolder="" count="0" memberValueDatatype="130" unbalanced="0"/>
    <cacheHierarchy uniqueName="[dime].[source]" caption="source" attribute="1" defaultMemberUniqueName="[dime].[source].[All]" allUniqueName="[dime].[source].[All]" dimensionUniqueName="[dime]" displayFolder="" count="0" memberValueDatatype="130" unbalanced="0"/>
    <cacheHierarchy uniqueName="[dime].[montant]" caption="montant" attribute="1" defaultMemberUniqueName="[dime].[montant].[All]" allUniqueName="[dime].[montant].[All]" dimensionUniqueName="[dime]" displayFolder="" count="0" memberValueDatatype="5" unbalanced="0"/>
    <cacheHierarchy uniqueName="[Epargne].[ID]" caption="ID" attribute="1" defaultMemberUniqueName="[Epargne].[ID].[All]" allUniqueName="[Epargne].[ID].[All]" dimensionUniqueName="[Epargne]" displayFolder="" count="0" memberValueDatatype="20" unbalanced="0"/>
    <cacheHierarchy uniqueName="[Epargne].[date]" caption="date" attribute="1" time="1" defaultMemberUniqueName="[Epargne].[date].[All]" allUniqueName="[Epargne].[date].[All]" dimensionUniqueName="[Epargne]" displayFolder="" count="0" memberValueDatatype="7" unbalanced="0"/>
    <cacheHierarchy uniqueName="[Epargne].[source]" caption="source" attribute="1" defaultMemberUniqueName="[Epargne].[source].[All]" allUniqueName="[Epargne].[source].[All]" dimensionUniqueName="[Epargne]" displayFolder="" count="0" memberValueDatatype="130" unbalanced="0"/>
    <cacheHierarchy uniqueName="[Epargne].[Description]" caption="Description" attribute="1" defaultMemberUniqueName="[Epargne].[Description].[All]" allUniqueName="[Epargne].[Description].[All]" dimensionUniqueName="[Epargne]" displayFolder="" count="0" memberValueDatatype="130" unbalanced="0"/>
    <cacheHierarchy uniqueName="[Epargne].[montant]" caption="montant" attribute="1" defaultMemberUniqueName="[Epargne].[montant].[All]" allUniqueName="[Epargne].[montant].[All]" dimensionUniqueName="[Epargne]" displayFolder="" count="0" memberValueDatatype="5" unbalanced="0"/>
    <cacheHierarchy uniqueName="[Epargne].[montant_CFA]" caption="montant_CFA" attribute="1" defaultMemberUniqueName="[Epargne].[montant_CFA].[All]" allUniqueName="[Epargne].[montant_CFA].[All]" dimensionUniqueName="[Epargne]" displayFolder="" count="0" memberValueDatatype="5" unbalanced="0"/>
    <cacheHierarchy uniqueName="[maison].[Colonne1]" caption="Colonne1" attribute="1" defaultMemberUniqueName="[maison].[Colonne1].[All]" allUniqueName="[maison].[Colonne1].[All]" dimensionUniqueName="[maison]" displayFolder="" count="0" memberValueDatatype="130" unbalanced="0"/>
    <cacheHierarchy uniqueName="[maison].[Colonne2]" caption="Colonne2" attribute="1" defaultMemberUniqueName="[maison].[Colonne2].[All]" allUniqueName="[maison].[Colonne2].[All]" dimensionUniqueName="[maison]" displayFolder="" count="0" memberValueDatatype="20" unbalanced="0"/>
    <cacheHierarchy uniqueName="[maison].[Colonne3]" caption="Colonne3" attribute="1" defaultMemberUniqueName="[maison].[Colonne3].[All]" allUniqueName="[maison].[Colonne3].[All]" dimensionUniqueName="[maison]" displayFolder="" count="0" memberValueDatatype="20" unbalanced="0"/>
    <cacheHierarchy uniqueName="[maison].[Colonne4]" caption="Colonne4" attribute="1" defaultMemberUniqueName="[maison].[Colonne4].[All]" allUniqueName="[maison].[Colonne4].[All]" dimensionUniqueName="[maison]" displayFolder="" count="0" memberValueDatatype="20" unbalanced="0"/>
    <cacheHierarchy uniqueName="[maison].[Colonne5]" caption="Colonne5" attribute="1" defaultMemberUniqueName="[maison].[Colonne5].[All]" allUniqueName="[maison].[Colonne5].[All]" dimensionUniqueName="[maison]" displayFolder="" count="0" memberValueDatatype="20" unbalanced="0"/>
    <cacheHierarchy uniqueName="[maison].[Colonne6]" caption="Colonne6" attribute="1" defaultMemberUniqueName="[maison].[Colonne6].[All]" allUniqueName="[maison].[Colonne6].[All]" dimensionUniqueName="[maison]" displayFolder="" count="0" memberValueDatatype="20" unbalanced="0"/>
    <cacheHierarchy uniqueName="[maison].[Colonne7]" caption="Colonne7" attribute="1" defaultMemberUniqueName="[maison].[Colonne7].[All]" allUniqueName="[maison].[Colonne7].[All]" dimensionUniqueName="[maison]" displayFolder="" count="0" memberValueDatatype="20" unbalanced="0"/>
    <cacheHierarchy uniqueName="[maison].[Colonne8]" caption="Colonne8" attribute="1" defaultMemberUniqueName="[maison].[Colonne8].[All]" allUniqueName="[maison].[Colonne8].[All]" dimensionUniqueName="[maison]" displayFolder="" count="0" memberValueDatatype="20" unbalanced="0"/>
    <cacheHierarchy uniqueName="[maison].[Colonne9]" caption="Colonne9" attribute="1" defaultMemberUniqueName="[maison].[Colonne9].[All]" allUniqueName="[maison].[Colonne9].[All]" dimensionUniqueName="[maison]" displayFolder="" count="0" memberValueDatatype="20" unbalanced="0"/>
    <cacheHierarchy uniqueName="[maison].[Colonne10]" caption="Colonne10" attribute="1" defaultMemberUniqueName="[maison].[Colonne10].[All]" allUniqueName="[maison].[Colonne10].[All]" dimensionUniqueName="[maison]" displayFolder="" count="0" memberValueDatatype="20" unbalanced="0"/>
    <cacheHierarchy uniqueName="[maison].[Colonne11]" caption="Colonne11" attribute="1" defaultMemberUniqueName="[maison].[Colonne11].[All]" allUniqueName="[maison].[Colonne11].[All]" dimensionUniqueName="[maison]" displayFolder="" count="0" memberValueDatatype="20" unbalanced="0"/>
    <cacheHierarchy uniqueName="[maison].[Colonne12]" caption="Colonne12" attribute="1" defaultMemberUniqueName="[maison].[Colonne12].[All]" allUniqueName="[maison].[Colonne12].[All]" dimensionUniqueName="[maison]" displayFolder="" count="0" memberValueDatatype="20" unbalanced="0"/>
    <cacheHierarchy uniqueName="[maison].[Colonne13]" caption="Colonne13" attribute="1" defaultMemberUniqueName="[maison].[Colonne13].[All]" allUniqueName="[maison].[Colonne13].[All]" dimensionUniqueName="[maison]" displayFolder="" count="0" memberValueDatatype="20" unbalanced="0"/>
    <cacheHierarchy uniqueName="[maison].[Colonne14]" caption="Colonne14" attribute="1" defaultMemberUniqueName="[maison].[Colonne14].[All]" allUniqueName="[maison].[Colonne14].[All]" dimensionUniqueName="[maison]" displayFolder="" count="0" memberValueDatatype="20" unbalanced="0"/>
    <cacheHierarchy uniqueName="[nourriture].[Colonne1]" caption="Colonne1" attribute="1" defaultMemberUniqueName="[nourriture].[Colonne1].[All]" allUniqueName="[nourriture].[Colonne1].[All]" dimensionUniqueName="[nourriture]" displayFolder="" count="0" memberValueDatatype="130" unbalanced="0"/>
    <cacheHierarchy uniqueName="[nourriture].[Colonne2]" caption="Colonne2" attribute="1" defaultMemberUniqueName="[nourriture].[Colonne2].[All]" allUniqueName="[nourriture].[Colonne2].[All]" dimensionUniqueName="[nourriture]" displayFolder="" count="0" memberValueDatatype="20" unbalanced="0"/>
    <cacheHierarchy uniqueName="[nourriture].[Colonne3]" caption="Colonne3" attribute="1" defaultMemberUniqueName="[nourriture].[Colonne3].[All]" allUniqueName="[nourriture].[Colonne3].[All]" dimensionUniqueName="[nourriture]" displayFolder="" count="0" memberValueDatatype="20" unbalanced="0"/>
    <cacheHierarchy uniqueName="[nourriture].[Colonne4]" caption="Colonne4" attribute="1" defaultMemberUniqueName="[nourriture].[Colonne4].[All]" allUniqueName="[nourriture].[Colonne4].[All]" dimensionUniqueName="[nourriture]" displayFolder="" count="0" memberValueDatatype="20" unbalanced="0"/>
    <cacheHierarchy uniqueName="[nourriture].[Colonne5]" caption="Colonne5" attribute="1" defaultMemberUniqueName="[nourriture].[Colonne5].[All]" allUniqueName="[nourriture].[Colonne5].[All]" dimensionUniqueName="[nourriture]" displayFolder="" count="0" memberValueDatatype="20" unbalanced="0"/>
    <cacheHierarchy uniqueName="[nourriture].[Colonne6]" caption="Colonne6" attribute="1" defaultMemberUniqueName="[nourriture].[Colonne6].[All]" allUniqueName="[nourriture].[Colonne6].[All]" dimensionUniqueName="[nourriture]" displayFolder="" count="0" memberValueDatatype="20" unbalanced="0"/>
    <cacheHierarchy uniqueName="[nourriture].[Colonne7]" caption="Colonne7" attribute="1" defaultMemberUniqueName="[nourriture].[Colonne7].[All]" allUniqueName="[nourriture].[Colonne7].[All]" dimensionUniqueName="[nourriture]" displayFolder="" count="0" memberValueDatatype="20" unbalanced="0"/>
    <cacheHierarchy uniqueName="[nourriture].[Colonne8]" caption="Colonne8" attribute="1" defaultMemberUniqueName="[nourriture].[Colonne8].[All]" allUniqueName="[nourriture].[Colonne8].[All]" dimensionUniqueName="[nourriture]" displayFolder="" count="0" memberValueDatatype="20" unbalanced="0"/>
    <cacheHierarchy uniqueName="[nourriture].[Colonne9]" caption="Colonne9" attribute="1" defaultMemberUniqueName="[nourriture].[Colonne9].[All]" allUniqueName="[nourriture].[Colonne9].[All]" dimensionUniqueName="[nourriture]" displayFolder="" count="0" memberValueDatatype="20" unbalanced="0"/>
    <cacheHierarchy uniqueName="[nourriture].[Colonne10]" caption="Colonne10" attribute="1" defaultMemberUniqueName="[nourriture].[Colonne10].[All]" allUniqueName="[nourriture].[Colonne10].[All]" dimensionUniqueName="[nourriture]" displayFolder="" count="0" memberValueDatatype="20" unbalanced="0"/>
    <cacheHierarchy uniqueName="[nourriture].[Colonne11]" caption="Colonne11" attribute="1" defaultMemberUniqueName="[nourriture].[Colonne11].[All]" allUniqueName="[nourriture].[Colonne11].[All]" dimensionUniqueName="[nourriture]" displayFolder="" count="0" memberValueDatatype="20" unbalanced="0"/>
    <cacheHierarchy uniqueName="[nourriture].[Colonne12]" caption="Colonne12" attribute="1" defaultMemberUniqueName="[nourriture].[Colonne12].[All]" allUniqueName="[nourriture].[Colonne12].[All]" dimensionUniqueName="[nourriture]" displayFolder="" count="0" memberValueDatatype="20" unbalanced="0"/>
    <cacheHierarchy uniqueName="[nourriture].[Colonne13]" caption="Colonne13" attribute="1" defaultMemberUniqueName="[nourriture].[Colonne13].[All]" allUniqueName="[nourriture].[Colonne13].[All]" dimensionUniqueName="[nourriture]" displayFolder="" count="0" memberValueDatatype="20" unbalanced="0"/>
    <cacheHierarchy uniqueName="[nourriture].[Colonne14]" caption="Colonne14" attribute="1" defaultMemberUniqueName="[nourriture].[Colonne14].[All]" allUniqueName="[nourriture].[Colonne14].[All]" dimensionUniqueName="[nourriture]" displayFolder="" count="0" memberValueDatatype="20" unbalanced="0"/>
    <cacheHierarchy uniqueName="[revenue].[Elements]" caption="Elements" attribute="1" defaultMemberUniqueName="[revenue].[Elements].[All]" allUniqueName="[revenue].[Elements].[All]" dimensionUniqueName="[revenue]" displayFolder="" count="0" memberValueDatatype="130" unbalanced="0"/>
    <cacheHierarchy uniqueName="[revenue].[Janv.]" caption="Janv." attribute="1" defaultMemberUniqueName="[revenue].[Janv.].[All]" allUniqueName="[revenue].[Janv.].[All]" dimensionUniqueName="[revenue]" displayFolder="" count="0" memberValueDatatype="20" unbalanced="0"/>
    <cacheHierarchy uniqueName="[revenue].[Fev.]" caption="Fev." attribute="1" defaultMemberUniqueName="[revenue].[Fev.].[All]" allUniqueName="[revenue].[Fev.].[All]" dimensionUniqueName="[revenue]" displayFolder="" count="0" memberValueDatatype="20" unbalanced="0"/>
    <cacheHierarchy uniqueName="[revenue].[Mars.]" caption="Mars." attribute="1" defaultMemberUniqueName="[revenue].[Mars.].[All]" allUniqueName="[revenue].[Mars.].[All]" dimensionUniqueName="[revenue]" displayFolder="" count="0" memberValueDatatype="20" unbalanced="0"/>
    <cacheHierarchy uniqueName="[revenue].[Avril]" caption="Avril" attribute="1" defaultMemberUniqueName="[revenue].[Avril].[All]" allUniqueName="[revenue].[Avril].[All]" dimensionUniqueName="[revenue]" displayFolder="" count="0" memberValueDatatype="20" unbalanced="0"/>
    <cacheHierarchy uniqueName="[revenue].[Mai]" caption="Mai" attribute="1" defaultMemberUniqueName="[revenue].[Mai].[All]" allUniqueName="[revenue].[Mai].[All]" dimensionUniqueName="[revenue]" displayFolder="" count="0" memberValueDatatype="20" unbalanced="0"/>
    <cacheHierarchy uniqueName="[revenue].[Juin]" caption="Juin" attribute="1" defaultMemberUniqueName="[revenue].[Juin].[All]" allUniqueName="[revenue].[Juin].[All]" dimensionUniqueName="[revenue]" displayFolder="" count="0" memberValueDatatype="20" unbalanced="0"/>
    <cacheHierarchy uniqueName="[revenue].[Juillet]" caption="Juillet" attribute="1" defaultMemberUniqueName="[revenue].[Juillet].[All]" allUniqueName="[revenue].[Juillet].[All]" dimensionUniqueName="[revenue]" displayFolder="" count="0" memberValueDatatype="20" unbalanced="0"/>
    <cacheHierarchy uniqueName="[revenue].[Aout]" caption="Aout" attribute="1" defaultMemberUniqueName="[revenue].[Aout].[All]" allUniqueName="[revenue].[Aout].[All]" dimensionUniqueName="[revenue]" displayFolder="" count="0" memberValueDatatype="20" unbalanced="0"/>
    <cacheHierarchy uniqueName="[revenue].[Sept.]" caption="Sept." attribute="1" defaultMemberUniqueName="[revenue].[Sept.].[All]" allUniqueName="[revenue].[Sept.].[All]" dimensionUniqueName="[revenue]" displayFolder="" count="0" memberValueDatatype="20" unbalanced="0"/>
    <cacheHierarchy uniqueName="[revenue].[Oct.]" caption="Oct." attribute="1" defaultMemberUniqueName="[revenue].[Oct.].[All]" allUniqueName="[revenue].[Oct.].[All]" dimensionUniqueName="[revenue]" displayFolder="" count="0" memberValueDatatype="20" unbalanced="0"/>
    <cacheHierarchy uniqueName="[revenue].[Nov.]" caption="Nov." attribute="1" defaultMemberUniqueName="[revenue].[Nov.].[All]" allUniqueName="[revenue].[Nov.].[All]" dimensionUniqueName="[revenue]" displayFolder="" count="0" memberValueDatatype="20" unbalanced="0"/>
    <cacheHierarchy uniqueName="[revenue].[Dec]" caption="Dec" attribute="1" defaultMemberUniqueName="[revenue].[Dec].[All]" allUniqueName="[revenue].[Dec].[All]" dimensionUniqueName="[revenue]" displayFolder="" count="0" memberValueDatatype="20" unbalanced="0"/>
    <cacheHierarchy uniqueName="[revenue].[Year to Date]" caption="Year to Date" attribute="1" defaultMemberUniqueName="[revenue].[Year to Date].[All]" allUniqueName="[revenue].[Year to Date].[All]" dimensionUniqueName="[revenue]" displayFolder="" count="0" memberValueDatatype="20" unbalanced="0"/>
    <cacheHierarchy uniqueName="[revenuXYZ].[Date]" caption="Date" attribute="1" time="1" defaultMemberUniqueName="[revenuXYZ].[Date].[All]" allUniqueName="[revenuXYZ].[Date].[All]" dimensionUniqueName="[revenuXYZ]" displayFolder="" count="0" memberValueDatatype="7" unbalanced="0"/>
    <cacheHierarchy uniqueName="[revenuXYZ].[mois]" caption="mois" attribute="1" defaultMemberUniqueName="[revenuXYZ].[mois].[All]" allUniqueName="[revenuXYZ].[mois].[All]" dimensionUniqueName="[revenuXYZ]" displayFolder="" count="0" memberValueDatatype="20" unbalanced="0"/>
    <cacheHierarchy uniqueName="[revenuXYZ].[categorie]" caption="categorie" attribute="1" defaultMemberUniqueName="[revenuXYZ].[categorie].[All]" allUniqueName="[revenuXYZ].[categorie].[All]" dimensionUniqueName="[revenuXYZ]" displayFolder="" count="2" memberValueDatatype="130" unbalanced="0">
      <fieldsUsage count="2">
        <fieldUsage x="-1"/>
        <fieldUsage x="4"/>
      </fieldsUsage>
    </cacheHierarchy>
    <cacheHierarchy uniqueName="[revenuXYZ].[Description]" caption="Description" attribute="1" defaultMemberUniqueName="[revenuXYZ].[Description].[All]" allUniqueName="[revenuXYZ].[Description].[All]" dimensionUniqueName="[revenuXYZ]" displayFolder="" count="0" memberValueDatatype="130" unbalanced="0"/>
    <cacheHierarchy uniqueName="[revenuXYZ].[montant]" caption="montant" attribute="1" defaultMemberUniqueName="[revenuXYZ].[montant].[All]" allUniqueName="[revenuXYZ].[montant].[All]" dimensionUniqueName="[revenuXYZ]" displayFolder="" count="0" memberValueDatatype="20" unbalanced="0"/>
    <cacheHierarchy uniqueName="[revenuXYZ].[montant_CFA]" caption="montant_CFA" attribute="1" defaultMemberUniqueName="[revenuXYZ].[montant_CFA].[All]" allUniqueName="[revenuXYZ].[montant_CFA].[All]" dimensionUniqueName="[revenuXYZ]" displayFolder="" count="0" memberValueDatatype="5" unbalanced="0"/>
    <cacheHierarchy uniqueName="[revenuXYZ].[source]" caption="source" attribute="1" defaultMemberUniqueName="[revenuXYZ].[source].[All]" allUniqueName="[revenuXYZ].[source].[All]" dimensionUniqueName="[revenuXYZ]" displayFolder="" count="0" memberValueDatatype="130" unbalanced="0"/>
    <cacheHierarchy uniqueName="[revenuXYZ].[ID]" caption="ID" attribute="1" defaultMemberUniqueName="[revenuXYZ].[ID].[All]" allUniqueName="[revenuXYZ].[ID].[All]" dimensionUniqueName="[revenuXYZ]" displayFolder="" count="0" memberValueDatatype="20" unbalanced="0"/>
    <cacheHierarchy uniqueName="[transport].[Colonne1]" caption="Colonne1" attribute="1" defaultMemberUniqueName="[transport].[Colonne1].[All]" allUniqueName="[transport].[Colonne1].[All]" dimensionUniqueName="[transport]" displayFolder="" count="0" memberValueDatatype="130" unbalanced="0"/>
    <cacheHierarchy uniqueName="[transport].[Colonne2]" caption="Colonne2" attribute="1" defaultMemberUniqueName="[transport].[Colonne2].[All]" allUniqueName="[transport].[Colonne2].[All]" dimensionUniqueName="[transport]" displayFolder="" count="0" memberValueDatatype="20" unbalanced="0"/>
    <cacheHierarchy uniqueName="[transport].[Colonne3]" caption="Colonne3" attribute="1" defaultMemberUniqueName="[transport].[Colonne3].[All]" allUniqueName="[transport].[Colonne3].[All]" dimensionUniqueName="[transport]" displayFolder="" count="0" memberValueDatatype="20" unbalanced="0"/>
    <cacheHierarchy uniqueName="[transport].[Colonne4]" caption="Colonne4" attribute="1" defaultMemberUniqueName="[transport].[Colonne4].[All]" allUniqueName="[transport].[Colonne4].[All]" dimensionUniqueName="[transport]" displayFolder="" count="0" memberValueDatatype="20" unbalanced="0"/>
    <cacheHierarchy uniqueName="[transport].[Colonne5]" caption="Colonne5" attribute="1" defaultMemberUniqueName="[transport].[Colonne5].[All]" allUniqueName="[transport].[Colonne5].[All]" dimensionUniqueName="[transport]" displayFolder="" count="0" memberValueDatatype="20" unbalanced="0"/>
    <cacheHierarchy uniqueName="[transport].[Colonne6]" caption="Colonne6" attribute="1" defaultMemberUniqueName="[transport].[Colonne6].[All]" allUniqueName="[transport].[Colonne6].[All]" dimensionUniqueName="[transport]" displayFolder="" count="0" memberValueDatatype="20" unbalanced="0"/>
    <cacheHierarchy uniqueName="[transport].[Colonne7]" caption="Colonne7" attribute="1" defaultMemberUniqueName="[transport].[Colonne7].[All]" allUniqueName="[transport].[Colonne7].[All]" dimensionUniqueName="[transport]" displayFolder="" count="0" memberValueDatatype="20" unbalanced="0"/>
    <cacheHierarchy uniqueName="[transport].[Colonne8]" caption="Colonne8" attribute="1" defaultMemberUniqueName="[transport].[Colonne8].[All]" allUniqueName="[transport].[Colonne8].[All]" dimensionUniqueName="[transport]" displayFolder="" count="0" memberValueDatatype="20" unbalanced="0"/>
    <cacheHierarchy uniqueName="[transport].[Colonne9]" caption="Colonne9" attribute="1" defaultMemberUniqueName="[transport].[Colonne9].[All]" allUniqueName="[transport].[Colonne9].[All]" dimensionUniqueName="[transport]" displayFolder="" count="0" memberValueDatatype="20" unbalanced="0"/>
    <cacheHierarchy uniqueName="[transport].[Colonne10]" caption="Colonne10" attribute="1" defaultMemberUniqueName="[transport].[Colonne10].[All]" allUniqueName="[transport].[Colonne10].[All]" dimensionUniqueName="[transport]" displayFolder="" count="0" memberValueDatatype="20" unbalanced="0"/>
    <cacheHierarchy uniqueName="[transport].[Colonne11]" caption="Colonne11" attribute="1" defaultMemberUniqueName="[transport].[Colonne11].[All]" allUniqueName="[transport].[Colonne11].[All]" dimensionUniqueName="[transport]" displayFolder="" count="0" memberValueDatatype="20" unbalanced="0"/>
    <cacheHierarchy uniqueName="[transport].[Colonne12]" caption="Colonne12" attribute="1" defaultMemberUniqueName="[transport].[Colonne12].[All]" allUniqueName="[transport].[Colonne12].[All]" dimensionUniqueName="[transport]" displayFolder="" count="0" memberValueDatatype="20" unbalanced="0"/>
    <cacheHierarchy uniqueName="[transport].[Colonne13]" caption="Colonne13" attribute="1" defaultMemberUniqueName="[transport].[Colonne13].[All]" allUniqueName="[transport].[Colonne13].[All]" dimensionUniqueName="[transport]" displayFolder="" count="0" memberValueDatatype="20" unbalanced="0"/>
    <cacheHierarchy uniqueName="[transport].[Colonne14]" caption="Colonne14" attribute="1" defaultMemberUniqueName="[transport].[Colonne14].[All]" allUniqueName="[transport].[Colonne14].[All]" dimensionUniqueName="[transport]" displayFolder="" count="0" memberValueDatatype="20" unbalanced="0"/>
    <cacheHierarchy uniqueName="[Date].[Date (Month Index)]" caption="Date (Month Index)" attribute="1" defaultMemberUniqueName="[Date].[Date (Month Index)].[All]" allUniqueName="[Date].[Date (Month Index)].[All]" dimensionUniqueName="[Date]" displayFolder="" count="0" memberValueDatatype="20" unbalanced="0" hidden="1"/>
    <cacheHierarchy uniqueName="[Measures].[Sum of montant]" caption="Sum of montant" measure="1" displayFolder="" measureGroup="revenuXYZ" count="0">
      <extLst>
        <ext xmlns:x15="http://schemas.microsoft.com/office/spreadsheetml/2010/11/main" uri="{B97F6D7D-B522-45F9-BDA1-12C45D357490}">
          <x15:cacheHierarchy aggregatedColumn="72"/>
        </ext>
      </extLst>
    </cacheHierarchy>
    <cacheHierarchy uniqueName="[Measures].[Sum of montant 2]" caption="Sum of montant 2" measure="1" displayFolder="" measureGroup="depense" count="0">
      <extLst>
        <ext xmlns:x15="http://schemas.microsoft.com/office/spreadsheetml/2010/11/main" uri="{B97F6D7D-B522-45F9-BDA1-12C45D357490}">
          <x15:cacheHierarchy aggregatedColumn="12"/>
        </ext>
      </extLst>
    </cacheHierarchy>
    <cacheHierarchy uniqueName="[Measures].[Average of montant]" caption="Average of montant" measure="1" displayFolder="" measureGroup="depense" count="0">
      <extLst>
        <ext xmlns:x15="http://schemas.microsoft.com/office/spreadsheetml/2010/11/main" uri="{B97F6D7D-B522-45F9-BDA1-12C45D357490}">
          <x15:cacheHierarchy aggregatedColumn="12"/>
        </ext>
      </extLst>
    </cacheHierarchy>
    <cacheHierarchy uniqueName="[Measures].[reste]" caption="reste" measure="1" displayFolder="" measureGroup="revenue" count="0"/>
    <cacheHierarchy uniqueName="[Measures].[TotalRevenue]" caption="TotalRevenue" measure="1" displayFolder="" measureGroup="revenuXYZ" count="0"/>
    <cacheHierarchy uniqueName="[Measures].[TotalDepense]" caption="TotalDepense" measure="1" displayFolder="" measureGroup="depense" count="0" oneField="1">
      <fieldsUsage count="1">
        <fieldUsage x="0"/>
      </fieldsUsage>
    </cacheHierarchy>
    <cacheHierarchy uniqueName="[Measures].[TotalReste]" caption="TotalReste" measure="1" displayFolder="" measureGroup="depense" count="0"/>
    <cacheHierarchy uniqueName="[Measures].[10% du Revenu]" caption="10% du Revenu" measure="1" displayFolder="" measureGroup="revenue" count="0"/>
    <cacheHierarchy uniqueName="[Measures].[20% du Revenu]" caption="20% du Revenu" measure="1" displayFolder="" measureGroup="revenue" count="0"/>
    <cacheHierarchy uniqueName="[Measures].[Epargne]" caption="Epargne" measure="1" displayFolder="" measureGroup="revenue" count="0"/>
    <cacheHierarchy uniqueName="[Measures].[Reste Depensable]" caption="Reste Depensable" measure="1" displayFolder="" measureGroup="revenuXYZ" count="0"/>
    <cacheHierarchy uniqueName="[Measures].[dime]" caption="dime" measure="1" displayFolder="" measureGroup="revenuXYZ" count="0"/>
    <cacheHierarchy uniqueName="[Measures].[__XL_Count revenue]" caption="__XL_Count revenue" measure="1" displayFolder="" measureGroup="revenue" count="0" hidden="1"/>
    <cacheHierarchy uniqueName="[Measures].[__XL_Count maison]" caption="__XL_Count maison" measure="1" displayFolder="" measureGroup="maison" count="0" hidden="1"/>
    <cacheHierarchy uniqueName="[Measures].[__XL_Count nourriture]" caption="__XL_Count nourriture" measure="1" displayFolder="" measureGroup="nourriture" count="0" hidden="1"/>
    <cacheHierarchy uniqueName="[Measures].[__XL_Count transport]" caption="__XL_Count transport" measure="1" displayFolder="" measureGroup="transport" count="0" hidden="1"/>
    <cacheHierarchy uniqueName="[Measures].[__XL_Count revenuXYZ]" caption="__XL_Count revenuXYZ" measure="1" displayFolder="" measureGroup="revenuXYZ" count="0" hidden="1"/>
    <cacheHierarchy uniqueName="[Measures].[__XL_Count depense]" caption="__XL_Count depense" measure="1" displayFolder="" measureGroup="depense" count="0" hidden="1"/>
    <cacheHierarchy uniqueName="[Measures].[__XL_Count Table14]" caption="__XL_Count Table14" measure="1" displayFolder="" measureGroup="Date" count="0" hidden="1"/>
    <cacheHierarchy uniqueName="[Measures].[__XL_Count Epargne]" caption="__XL_Count Epargne" measure="1" displayFolder="" measureGroup="Epargne" count="0" hidden="1"/>
    <cacheHierarchy uniqueName="[Measures].[__XL_Count dime]" caption="__XL_Count dime" measure="1" displayFolder="" measureGroup="dime" count="0" hidden="1"/>
    <cacheHierarchy uniqueName="[Measures].[__No measures defined]" caption="__No measures defined" measure="1" displayFolder="" count="0" hidden="1"/>
  </cacheHierarchies>
  <kpis count="0"/>
  <dimensions count="10">
    <dimension name="Date" uniqueName="[Date]" caption="Date"/>
    <dimension name="depense" uniqueName="[depense]" caption="depense"/>
    <dimension name="dime" uniqueName="[dime]" caption="dime"/>
    <dimension name="Epargne" uniqueName="[Epargne]" caption="Epargne"/>
    <dimension name="maison" uniqueName="[maison]" caption="maison"/>
    <dimension measure="1" name="Measures" uniqueName="[Measures]" caption="Measures"/>
    <dimension name="nourriture" uniqueName="[nourriture]" caption="nourriture"/>
    <dimension name="revenue" uniqueName="[revenue]" caption="revenue"/>
    <dimension name="revenuXYZ" uniqueName="[revenuXYZ]" caption="revenuXYZ"/>
    <dimension name="transport" uniqueName="[transport]" caption="transport"/>
  </dimensions>
  <measureGroups count="9">
    <measureGroup name="Date" caption="Date"/>
    <measureGroup name="depense" caption="depense"/>
    <measureGroup name="dime" caption="dime"/>
    <measureGroup name="Epargne" caption="Epargne"/>
    <measureGroup name="maison" caption="maison"/>
    <measureGroup name="nourriture" caption="nourriture"/>
    <measureGroup name="revenue" caption="revenue"/>
    <measureGroup name="revenuXYZ" caption="revenuXYZ"/>
    <measureGroup name="transport" caption="transport"/>
  </measureGroups>
  <maps count="13">
    <map measureGroup="0" dimension="0"/>
    <map measureGroup="1" dimension="0"/>
    <map measureGroup="1" dimension="1"/>
    <map measureGroup="2" dimension="0"/>
    <map measureGroup="2" dimension="2"/>
    <map measureGroup="3" dimension="0"/>
    <map measureGroup="3" dimension="3"/>
    <map measureGroup="4" dimension="4"/>
    <map measureGroup="5" dimension="6"/>
    <map measureGroup="6" dimension="7"/>
    <map measureGroup="7" dimension="0"/>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504.70332951389" backgroundQuery="1" createdVersion="8" refreshedVersion="8" minRefreshableVersion="3" recordCount="0" supportSubquery="1" supportAdvancedDrill="1" xr:uid="{02505CD5-91F1-4E78-9D7D-3D28FE3DCFDC}">
  <cacheSource type="external" connectionId="1"/>
  <cacheFields count="5">
    <cacheField name="[Measures].[TotalDepense]" caption="TotalDepense" numFmtId="0" hierarchy="96" level="32767"/>
    <cacheField name="[Date].[Date (Month)].[Date (Month)]" caption="Date (Month)" numFmtId="0" hierarchy="3" level="1">
      <sharedItems count="1">
        <s v="juil"/>
      </sharedItems>
    </cacheField>
    <cacheField name="[Date].[Date (Year)].[Date (Year)]" caption="Date (Year)" numFmtId="0" hierarchy="1" level="1">
      <sharedItems containsSemiMixedTypes="0" containsNonDate="0" containsString="0"/>
    </cacheField>
    <cacheField name="[depense].[Caegorie].[Caegorie]" caption="Caegorie" numFmtId="0" hierarchy="10" level="1">
      <sharedItems containsSemiMixedTypes="0" containsNonDate="0" containsString="0"/>
    </cacheField>
    <cacheField name="[revenuXYZ].[categorie].[categorie]" caption="categorie" numFmtId="0" hierarchy="70" level="1">
      <sharedItems containsSemiMixedTypes="0" containsNonDate="0" containsString="0"/>
    </cacheField>
  </cacheFields>
  <cacheHierarchies count="113">
    <cacheHierarchy uniqueName="[Date].[Date]" caption="Date" attribute="1" time="1" defaultMemberUniqueName="[Date].[Date].[All]" allUniqueName="[Date].[Date].[All]" dimensionUniqueName="[Date]" displayFolder="" count="0" memberValueDatatype="7" unbalanced="0"/>
    <cacheHierarchy uniqueName="[Date].[Date (Year)]" caption="Date (Year)" attribute="1" defaultMemberUniqueName="[Date].[Date (Year)].[All]" allUniqueName="[Date].[Date (Year)].[All]" dimensionUniqueName="[Date]" displayFolder="" count="2" memberValueDatatype="130" unbalanced="0">
      <fieldsUsage count="2">
        <fieldUsage x="-1"/>
        <fieldUsage x="2"/>
      </fieldsUsage>
    </cacheHierarchy>
    <cacheHierarchy uniqueName="[Date].[Date (Quarter)]" caption="Date (Quarter)" attribute="1" defaultMemberUniqueName="[Date].[Date (Quarter)].[All]" allUniqueName="[Date].[Date (Quarter)].[All]" dimensionUniqueName="[Date]" displayFolder="" count="0" memberValueDatatype="130" unbalanced="0"/>
    <cacheHierarchy uniqueName="[Date].[Date (Month)]" caption="Date (Month)" attribute="1" defaultMemberUniqueName="[Date].[Date (Month)].[All]" allUniqueName="[Date].[Date (Month)].[All]" dimensionUniqueName="[Date]" displayFolder="" count="2" memberValueDatatype="130" unbalanced="0">
      <fieldsUsage count="2">
        <fieldUsage x="-1"/>
        <fieldUsage x="1"/>
      </fieldsUsage>
    </cacheHierarchy>
    <cacheHierarchy uniqueName="[Date].[week]" caption="week" attribute="1" defaultMemberUniqueName="[Date].[week].[All]" allUniqueName="[Date].[week].[All]" dimensionUniqueName="[Date]" displayFolder="" count="0" memberValueDatatype="130" unbalanced="0"/>
    <cacheHierarchy uniqueName="[Date].[Mois]" caption="Mois" attribute="1" defaultMemberUniqueName="[Date].[Mois].[All]" allUniqueName="[Date].[Mois].[All]" dimensionUniqueName="[Date]" displayFolder="" count="0" memberValueDatatype="20" unbalanced="0"/>
    <cacheHierarchy uniqueName="[Date].[Nun_Month]" caption="Nun_Month" attribute="1" defaultMemberUniqueName="[Date].[Nun_Month].[All]" allUniqueName="[Date].[Nun_Month].[All]" dimensionUniqueName="[Date]" displayFolder="" count="0" memberValueDatatype="130" unbalanced="0"/>
    <cacheHierarchy uniqueName="[depense].[Date]" caption="Date" attribute="1" time="1" defaultMemberUniqueName="[depense].[Date].[All]" allUniqueName="[depense].[Date].[All]" dimensionUniqueName="[depense]" displayFolder="" count="0" memberValueDatatype="7" unbalanced="0"/>
    <cacheHierarchy uniqueName="[depense].[mois]" caption="mois" attribute="1" defaultMemberUniqueName="[depense].[mois].[All]" allUniqueName="[depense].[mois].[All]" dimensionUniqueName="[depense]" displayFolder="" count="0" memberValueDatatype="20" unbalanced="0"/>
    <cacheHierarchy uniqueName="[depense].[source]" caption="source" attribute="1" defaultMemberUniqueName="[depense].[source].[All]" allUniqueName="[depense].[source].[All]" dimensionUniqueName="[depense]" displayFolder="" count="0" memberValueDatatype="130" unbalanced="0"/>
    <cacheHierarchy uniqueName="[depense].[Caegorie]" caption="Caegorie" attribute="1" defaultMemberUniqueName="[depense].[Caegorie].[All]" allUniqueName="[depense].[Caegorie].[All]" dimensionUniqueName="[depense]" displayFolder="" count="2" memberValueDatatype="130" unbalanced="0">
      <fieldsUsage count="2">
        <fieldUsage x="-1"/>
        <fieldUsage x="3"/>
      </fieldsUsage>
    </cacheHierarchy>
    <cacheHierarchy uniqueName="[depense].[Description]" caption="Description" attribute="1" defaultMemberUniqueName="[depense].[Description].[All]" allUniqueName="[depense].[Description].[All]" dimensionUniqueName="[depense]" displayFolder="" count="0" memberValueDatatype="130" unbalanced="0"/>
    <cacheHierarchy uniqueName="[depense].[montant]" caption="montant" attribute="1" defaultMemberUniqueName="[depense].[montant].[All]" allUniqueName="[depense].[montant].[All]" dimensionUniqueName="[depense]" displayFolder="" count="0" memberValueDatatype="20" unbalanced="0"/>
    <cacheHierarchy uniqueName="[depense].[montant_CFA]" caption="montant_CFA" attribute="1" defaultMemberUniqueName="[depense].[montant_CFA].[All]" allUniqueName="[depense].[montant_CFA].[All]" dimensionUniqueName="[depense]" displayFolder="" count="0" memberValueDatatype="20" unbalanced="0"/>
    <cacheHierarchy uniqueName="[depense].[ID]" caption="ID" attribute="1" defaultMemberUniqueName="[depense].[ID].[All]" allUniqueName="[depense].[ID].[All]" dimensionUniqueName="[depense]" displayFolder="" count="0" memberValueDatatype="20" unbalanced="0"/>
    <cacheHierarchy uniqueName="[dime].[Date]" caption="Date" attribute="1" time="1" defaultMemberUniqueName="[dime].[Date].[All]" allUniqueName="[dime].[Date].[All]" dimensionUniqueName="[dime]" displayFolder="" count="0" memberValueDatatype="7" unbalanced="0"/>
    <cacheHierarchy uniqueName="[dime].[ID_revenue]" caption="ID_revenue" attribute="1" defaultMemberUniqueName="[dime].[ID_revenue].[All]" allUniqueName="[dime].[ID_revenue].[All]" dimensionUniqueName="[dime]" displayFolder="" count="0" memberValueDatatype="20" unbalanced="0"/>
    <cacheHierarchy uniqueName="[dime].[Description]" caption="Description" attribute="1" defaultMemberUniqueName="[dime].[Description].[All]" allUniqueName="[dime].[Description].[All]" dimensionUniqueName="[dime]" displayFolder="" count="0" memberValueDatatype="130" unbalanced="0"/>
    <cacheHierarchy uniqueName="[dime].[source]" caption="source" attribute="1" defaultMemberUniqueName="[dime].[source].[All]" allUniqueName="[dime].[source].[All]" dimensionUniqueName="[dime]" displayFolder="" count="0" memberValueDatatype="130" unbalanced="0"/>
    <cacheHierarchy uniqueName="[dime].[montant]" caption="montant" attribute="1" defaultMemberUniqueName="[dime].[montant].[All]" allUniqueName="[dime].[montant].[All]" dimensionUniqueName="[dime]" displayFolder="" count="0" memberValueDatatype="5" unbalanced="0"/>
    <cacheHierarchy uniqueName="[Epargne].[ID]" caption="ID" attribute="1" defaultMemberUniqueName="[Epargne].[ID].[All]" allUniqueName="[Epargne].[ID].[All]" dimensionUniqueName="[Epargne]" displayFolder="" count="0" memberValueDatatype="20" unbalanced="0"/>
    <cacheHierarchy uniqueName="[Epargne].[date]" caption="date" attribute="1" time="1" defaultMemberUniqueName="[Epargne].[date].[All]" allUniqueName="[Epargne].[date].[All]" dimensionUniqueName="[Epargne]" displayFolder="" count="0" memberValueDatatype="7" unbalanced="0"/>
    <cacheHierarchy uniqueName="[Epargne].[source]" caption="source" attribute="1" defaultMemberUniqueName="[Epargne].[source].[All]" allUniqueName="[Epargne].[source].[All]" dimensionUniqueName="[Epargne]" displayFolder="" count="0" memberValueDatatype="130" unbalanced="0"/>
    <cacheHierarchy uniqueName="[Epargne].[Description]" caption="Description" attribute="1" defaultMemberUniqueName="[Epargne].[Description].[All]" allUniqueName="[Epargne].[Description].[All]" dimensionUniqueName="[Epargne]" displayFolder="" count="0" memberValueDatatype="130" unbalanced="0"/>
    <cacheHierarchy uniqueName="[Epargne].[montant]" caption="montant" attribute="1" defaultMemberUniqueName="[Epargne].[montant].[All]" allUniqueName="[Epargne].[montant].[All]" dimensionUniqueName="[Epargne]" displayFolder="" count="0" memberValueDatatype="5" unbalanced="0"/>
    <cacheHierarchy uniqueName="[Epargne].[montant_CFA]" caption="montant_CFA" attribute="1" defaultMemberUniqueName="[Epargne].[montant_CFA].[All]" allUniqueName="[Epargne].[montant_CFA].[All]" dimensionUniqueName="[Epargne]" displayFolder="" count="0" memberValueDatatype="5" unbalanced="0"/>
    <cacheHierarchy uniqueName="[maison].[Colonne1]" caption="Colonne1" attribute="1" defaultMemberUniqueName="[maison].[Colonne1].[All]" allUniqueName="[maison].[Colonne1].[All]" dimensionUniqueName="[maison]" displayFolder="" count="0" memberValueDatatype="130" unbalanced="0"/>
    <cacheHierarchy uniqueName="[maison].[Colonne2]" caption="Colonne2" attribute="1" defaultMemberUniqueName="[maison].[Colonne2].[All]" allUniqueName="[maison].[Colonne2].[All]" dimensionUniqueName="[maison]" displayFolder="" count="0" memberValueDatatype="20" unbalanced="0"/>
    <cacheHierarchy uniqueName="[maison].[Colonne3]" caption="Colonne3" attribute="1" defaultMemberUniqueName="[maison].[Colonne3].[All]" allUniqueName="[maison].[Colonne3].[All]" dimensionUniqueName="[maison]" displayFolder="" count="0" memberValueDatatype="20" unbalanced="0"/>
    <cacheHierarchy uniqueName="[maison].[Colonne4]" caption="Colonne4" attribute="1" defaultMemberUniqueName="[maison].[Colonne4].[All]" allUniqueName="[maison].[Colonne4].[All]" dimensionUniqueName="[maison]" displayFolder="" count="0" memberValueDatatype="20" unbalanced="0"/>
    <cacheHierarchy uniqueName="[maison].[Colonne5]" caption="Colonne5" attribute="1" defaultMemberUniqueName="[maison].[Colonne5].[All]" allUniqueName="[maison].[Colonne5].[All]" dimensionUniqueName="[maison]" displayFolder="" count="0" memberValueDatatype="20" unbalanced="0"/>
    <cacheHierarchy uniqueName="[maison].[Colonne6]" caption="Colonne6" attribute="1" defaultMemberUniqueName="[maison].[Colonne6].[All]" allUniqueName="[maison].[Colonne6].[All]" dimensionUniqueName="[maison]" displayFolder="" count="0" memberValueDatatype="20" unbalanced="0"/>
    <cacheHierarchy uniqueName="[maison].[Colonne7]" caption="Colonne7" attribute="1" defaultMemberUniqueName="[maison].[Colonne7].[All]" allUniqueName="[maison].[Colonne7].[All]" dimensionUniqueName="[maison]" displayFolder="" count="0" memberValueDatatype="20" unbalanced="0"/>
    <cacheHierarchy uniqueName="[maison].[Colonne8]" caption="Colonne8" attribute="1" defaultMemberUniqueName="[maison].[Colonne8].[All]" allUniqueName="[maison].[Colonne8].[All]" dimensionUniqueName="[maison]" displayFolder="" count="0" memberValueDatatype="20" unbalanced="0"/>
    <cacheHierarchy uniqueName="[maison].[Colonne9]" caption="Colonne9" attribute="1" defaultMemberUniqueName="[maison].[Colonne9].[All]" allUniqueName="[maison].[Colonne9].[All]" dimensionUniqueName="[maison]" displayFolder="" count="0" memberValueDatatype="20" unbalanced="0"/>
    <cacheHierarchy uniqueName="[maison].[Colonne10]" caption="Colonne10" attribute="1" defaultMemberUniqueName="[maison].[Colonne10].[All]" allUniqueName="[maison].[Colonne10].[All]" dimensionUniqueName="[maison]" displayFolder="" count="0" memberValueDatatype="20" unbalanced="0"/>
    <cacheHierarchy uniqueName="[maison].[Colonne11]" caption="Colonne11" attribute="1" defaultMemberUniqueName="[maison].[Colonne11].[All]" allUniqueName="[maison].[Colonne11].[All]" dimensionUniqueName="[maison]" displayFolder="" count="0" memberValueDatatype="20" unbalanced="0"/>
    <cacheHierarchy uniqueName="[maison].[Colonne12]" caption="Colonne12" attribute="1" defaultMemberUniqueName="[maison].[Colonne12].[All]" allUniqueName="[maison].[Colonne12].[All]" dimensionUniqueName="[maison]" displayFolder="" count="0" memberValueDatatype="20" unbalanced="0"/>
    <cacheHierarchy uniqueName="[maison].[Colonne13]" caption="Colonne13" attribute="1" defaultMemberUniqueName="[maison].[Colonne13].[All]" allUniqueName="[maison].[Colonne13].[All]" dimensionUniqueName="[maison]" displayFolder="" count="0" memberValueDatatype="20" unbalanced="0"/>
    <cacheHierarchy uniqueName="[maison].[Colonne14]" caption="Colonne14" attribute="1" defaultMemberUniqueName="[maison].[Colonne14].[All]" allUniqueName="[maison].[Colonne14].[All]" dimensionUniqueName="[maison]" displayFolder="" count="0" memberValueDatatype="20" unbalanced="0"/>
    <cacheHierarchy uniqueName="[nourriture].[Colonne1]" caption="Colonne1" attribute="1" defaultMemberUniqueName="[nourriture].[Colonne1].[All]" allUniqueName="[nourriture].[Colonne1].[All]" dimensionUniqueName="[nourriture]" displayFolder="" count="0" memberValueDatatype="130" unbalanced="0"/>
    <cacheHierarchy uniqueName="[nourriture].[Colonne2]" caption="Colonne2" attribute="1" defaultMemberUniqueName="[nourriture].[Colonne2].[All]" allUniqueName="[nourriture].[Colonne2].[All]" dimensionUniqueName="[nourriture]" displayFolder="" count="0" memberValueDatatype="20" unbalanced="0"/>
    <cacheHierarchy uniqueName="[nourriture].[Colonne3]" caption="Colonne3" attribute="1" defaultMemberUniqueName="[nourriture].[Colonne3].[All]" allUniqueName="[nourriture].[Colonne3].[All]" dimensionUniqueName="[nourriture]" displayFolder="" count="0" memberValueDatatype="20" unbalanced="0"/>
    <cacheHierarchy uniqueName="[nourriture].[Colonne4]" caption="Colonne4" attribute="1" defaultMemberUniqueName="[nourriture].[Colonne4].[All]" allUniqueName="[nourriture].[Colonne4].[All]" dimensionUniqueName="[nourriture]" displayFolder="" count="0" memberValueDatatype="20" unbalanced="0"/>
    <cacheHierarchy uniqueName="[nourriture].[Colonne5]" caption="Colonne5" attribute="1" defaultMemberUniqueName="[nourriture].[Colonne5].[All]" allUniqueName="[nourriture].[Colonne5].[All]" dimensionUniqueName="[nourriture]" displayFolder="" count="0" memberValueDatatype="20" unbalanced="0"/>
    <cacheHierarchy uniqueName="[nourriture].[Colonne6]" caption="Colonne6" attribute="1" defaultMemberUniqueName="[nourriture].[Colonne6].[All]" allUniqueName="[nourriture].[Colonne6].[All]" dimensionUniqueName="[nourriture]" displayFolder="" count="0" memberValueDatatype="20" unbalanced="0"/>
    <cacheHierarchy uniqueName="[nourriture].[Colonne7]" caption="Colonne7" attribute="1" defaultMemberUniqueName="[nourriture].[Colonne7].[All]" allUniqueName="[nourriture].[Colonne7].[All]" dimensionUniqueName="[nourriture]" displayFolder="" count="0" memberValueDatatype="20" unbalanced="0"/>
    <cacheHierarchy uniqueName="[nourriture].[Colonne8]" caption="Colonne8" attribute="1" defaultMemberUniqueName="[nourriture].[Colonne8].[All]" allUniqueName="[nourriture].[Colonne8].[All]" dimensionUniqueName="[nourriture]" displayFolder="" count="0" memberValueDatatype="20" unbalanced="0"/>
    <cacheHierarchy uniqueName="[nourriture].[Colonne9]" caption="Colonne9" attribute="1" defaultMemberUniqueName="[nourriture].[Colonne9].[All]" allUniqueName="[nourriture].[Colonne9].[All]" dimensionUniqueName="[nourriture]" displayFolder="" count="0" memberValueDatatype="20" unbalanced="0"/>
    <cacheHierarchy uniqueName="[nourriture].[Colonne10]" caption="Colonne10" attribute="1" defaultMemberUniqueName="[nourriture].[Colonne10].[All]" allUniqueName="[nourriture].[Colonne10].[All]" dimensionUniqueName="[nourriture]" displayFolder="" count="0" memberValueDatatype="20" unbalanced="0"/>
    <cacheHierarchy uniqueName="[nourriture].[Colonne11]" caption="Colonne11" attribute="1" defaultMemberUniqueName="[nourriture].[Colonne11].[All]" allUniqueName="[nourriture].[Colonne11].[All]" dimensionUniqueName="[nourriture]" displayFolder="" count="0" memberValueDatatype="20" unbalanced="0"/>
    <cacheHierarchy uniqueName="[nourriture].[Colonne12]" caption="Colonne12" attribute="1" defaultMemberUniqueName="[nourriture].[Colonne12].[All]" allUniqueName="[nourriture].[Colonne12].[All]" dimensionUniqueName="[nourriture]" displayFolder="" count="0" memberValueDatatype="20" unbalanced="0"/>
    <cacheHierarchy uniqueName="[nourriture].[Colonne13]" caption="Colonne13" attribute="1" defaultMemberUniqueName="[nourriture].[Colonne13].[All]" allUniqueName="[nourriture].[Colonne13].[All]" dimensionUniqueName="[nourriture]" displayFolder="" count="0" memberValueDatatype="20" unbalanced="0"/>
    <cacheHierarchy uniqueName="[nourriture].[Colonne14]" caption="Colonne14" attribute="1" defaultMemberUniqueName="[nourriture].[Colonne14].[All]" allUniqueName="[nourriture].[Colonne14].[All]" dimensionUniqueName="[nourriture]" displayFolder="" count="0" memberValueDatatype="20" unbalanced="0"/>
    <cacheHierarchy uniqueName="[revenue].[Elements]" caption="Elements" attribute="1" defaultMemberUniqueName="[revenue].[Elements].[All]" allUniqueName="[revenue].[Elements].[All]" dimensionUniqueName="[revenue]" displayFolder="" count="0" memberValueDatatype="130" unbalanced="0"/>
    <cacheHierarchy uniqueName="[revenue].[Janv.]" caption="Janv." attribute="1" defaultMemberUniqueName="[revenue].[Janv.].[All]" allUniqueName="[revenue].[Janv.].[All]" dimensionUniqueName="[revenue]" displayFolder="" count="0" memberValueDatatype="20" unbalanced="0"/>
    <cacheHierarchy uniqueName="[revenue].[Fev.]" caption="Fev." attribute="1" defaultMemberUniqueName="[revenue].[Fev.].[All]" allUniqueName="[revenue].[Fev.].[All]" dimensionUniqueName="[revenue]" displayFolder="" count="0" memberValueDatatype="20" unbalanced="0"/>
    <cacheHierarchy uniqueName="[revenue].[Mars.]" caption="Mars." attribute="1" defaultMemberUniqueName="[revenue].[Mars.].[All]" allUniqueName="[revenue].[Mars.].[All]" dimensionUniqueName="[revenue]" displayFolder="" count="0" memberValueDatatype="20" unbalanced="0"/>
    <cacheHierarchy uniqueName="[revenue].[Avril]" caption="Avril" attribute="1" defaultMemberUniqueName="[revenue].[Avril].[All]" allUniqueName="[revenue].[Avril].[All]" dimensionUniqueName="[revenue]" displayFolder="" count="0" memberValueDatatype="20" unbalanced="0"/>
    <cacheHierarchy uniqueName="[revenue].[Mai]" caption="Mai" attribute="1" defaultMemberUniqueName="[revenue].[Mai].[All]" allUniqueName="[revenue].[Mai].[All]" dimensionUniqueName="[revenue]" displayFolder="" count="0" memberValueDatatype="20" unbalanced="0"/>
    <cacheHierarchy uniqueName="[revenue].[Juin]" caption="Juin" attribute="1" defaultMemberUniqueName="[revenue].[Juin].[All]" allUniqueName="[revenue].[Juin].[All]" dimensionUniqueName="[revenue]" displayFolder="" count="0" memberValueDatatype="20" unbalanced="0"/>
    <cacheHierarchy uniqueName="[revenue].[Juillet]" caption="Juillet" attribute="1" defaultMemberUniqueName="[revenue].[Juillet].[All]" allUniqueName="[revenue].[Juillet].[All]" dimensionUniqueName="[revenue]" displayFolder="" count="0" memberValueDatatype="20" unbalanced="0"/>
    <cacheHierarchy uniqueName="[revenue].[Aout]" caption="Aout" attribute="1" defaultMemberUniqueName="[revenue].[Aout].[All]" allUniqueName="[revenue].[Aout].[All]" dimensionUniqueName="[revenue]" displayFolder="" count="0" memberValueDatatype="20" unbalanced="0"/>
    <cacheHierarchy uniqueName="[revenue].[Sept.]" caption="Sept." attribute="1" defaultMemberUniqueName="[revenue].[Sept.].[All]" allUniqueName="[revenue].[Sept.].[All]" dimensionUniqueName="[revenue]" displayFolder="" count="0" memberValueDatatype="20" unbalanced="0"/>
    <cacheHierarchy uniqueName="[revenue].[Oct.]" caption="Oct." attribute="1" defaultMemberUniqueName="[revenue].[Oct.].[All]" allUniqueName="[revenue].[Oct.].[All]" dimensionUniqueName="[revenue]" displayFolder="" count="0" memberValueDatatype="20" unbalanced="0"/>
    <cacheHierarchy uniqueName="[revenue].[Nov.]" caption="Nov." attribute="1" defaultMemberUniqueName="[revenue].[Nov.].[All]" allUniqueName="[revenue].[Nov.].[All]" dimensionUniqueName="[revenue]" displayFolder="" count="0" memberValueDatatype="20" unbalanced="0"/>
    <cacheHierarchy uniqueName="[revenue].[Dec]" caption="Dec" attribute="1" defaultMemberUniqueName="[revenue].[Dec].[All]" allUniqueName="[revenue].[Dec].[All]" dimensionUniqueName="[revenue]" displayFolder="" count="0" memberValueDatatype="20" unbalanced="0"/>
    <cacheHierarchy uniqueName="[revenue].[Year to Date]" caption="Year to Date" attribute="1" defaultMemberUniqueName="[revenue].[Year to Date].[All]" allUniqueName="[revenue].[Year to Date].[All]" dimensionUniqueName="[revenue]" displayFolder="" count="0" memberValueDatatype="20" unbalanced="0"/>
    <cacheHierarchy uniqueName="[revenuXYZ].[Date]" caption="Date" attribute="1" time="1" defaultMemberUniqueName="[revenuXYZ].[Date].[All]" allUniqueName="[revenuXYZ].[Date].[All]" dimensionUniqueName="[revenuXYZ]" displayFolder="" count="0" memberValueDatatype="7" unbalanced="0"/>
    <cacheHierarchy uniqueName="[revenuXYZ].[mois]" caption="mois" attribute="1" defaultMemberUniqueName="[revenuXYZ].[mois].[All]" allUniqueName="[revenuXYZ].[mois].[All]" dimensionUniqueName="[revenuXYZ]" displayFolder="" count="0" memberValueDatatype="20" unbalanced="0"/>
    <cacheHierarchy uniqueName="[revenuXYZ].[categorie]" caption="categorie" attribute="1" defaultMemberUniqueName="[revenuXYZ].[categorie].[All]" allUniqueName="[revenuXYZ].[categorie].[All]" dimensionUniqueName="[revenuXYZ]" displayFolder="" count="2" memberValueDatatype="130" unbalanced="0">
      <fieldsUsage count="2">
        <fieldUsage x="-1"/>
        <fieldUsage x="4"/>
      </fieldsUsage>
    </cacheHierarchy>
    <cacheHierarchy uniqueName="[revenuXYZ].[Description]" caption="Description" attribute="1" defaultMemberUniqueName="[revenuXYZ].[Description].[All]" allUniqueName="[revenuXYZ].[Description].[All]" dimensionUniqueName="[revenuXYZ]" displayFolder="" count="0" memberValueDatatype="130" unbalanced="0"/>
    <cacheHierarchy uniqueName="[revenuXYZ].[montant]" caption="montant" attribute="1" defaultMemberUniqueName="[revenuXYZ].[montant].[All]" allUniqueName="[revenuXYZ].[montant].[All]" dimensionUniqueName="[revenuXYZ]" displayFolder="" count="0" memberValueDatatype="20" unbalanced="0"/>
    <cacheHierarchy uniqueName="[revenuXYZ].[montant_CFA]" caption="montant_CFA" attribute="1" defaultMemberUniqueName="[revenuXYZ].[montant_CFA].[All]" allUniqueName="[revenuXYZ].[montant_CFA].[All]" dimensionUniqueName="[revenuXYZ]" displayFolder="" count="0" memberValueDatatype="5" unbalanced="0"/>
    <cacheHierarchy uniqueName="[revenuXYZ].[source]" caption="source" attribute="1" defaultMemberUniqueName="[revenuXYZ].[source].[All]" allUniqueName="[revenuXYZ].[source].[All]" dimensionUniqueName="[revenuXYZ]" displayFolder="" count="0" memberValueDatatype="130" unbalanced="0"/>
    <cacheHierarchy uniqueName="[revenuXYZ].[ID]" caption="ID" attribute="1" defaultMemberUniqueName="[revenuXYZ].[ID].[All]" allUniqueName="[revenuXYZ].[ID].[All]" dimensionUniqueName="[revenuXYZ]" displayFolder="" count="0" memberValueDatatype="20" unbalanced="0"/>
    <cacheHierarchy uniqueName="[transport].[Colonne1]" caption="Colonne1" attribute="1" defaultMemberUniqueName="[transport].[Colonne1].[All]" allUniqueName="[transport].[Colonne1].[All]" dimensionUniqueName="[transport]" displayFolder="" count="0" memberValueDatatype="130" unbalanced="0"/>
    <cacheHierarchy uniqueName="[transport].[Colonne2]" caption="Colonne2" attribute="1" defaultMemberUniqueName="[transport].[Colonne2].[All]" allUniqueName="[transport].[Colonne2].[All]" dimensionUniqueName="[transport]" displayFolder="" count="0" memberValueDatatype="20" unbalanced="0"/>
    <cacheHierarchy uniqueName="[transport].[Colonne3]" caption="Colonne3" attribute="1" defaultMemberUniqueName="[transport].[Colonne3].[All]" allUniqueName="[transport].[Colonne3].[All]" dimensionUniqueName="[transport]" displayFolder="" count="0" memberValueDatatype="20" unbalanced="0"/>
    <cacheHierarchy uniqueName="[transport].[Colonne4]" caption="Colonne4" attribute="1" defaultMemberUniqueName="[transport].[Colonne4].[All]" allUniqueName="[transport].[Colonne4].[All]" dimensionUniqueName="[transport]" displayFolder="" count="0" memberValueDatatype="20" unbalanced="0"/>
    <cacheHierarchy uniqueName="[transport].[Colonne5]" caption="Colonne5" attribute="1" defaultMemberUniqueName="[transport].[Colonne5].[All]" allUniqueName="[transport].[Colonne5].[All]" dimensionUniqueName="[transport]" displayFolder="" count="0" memberValueDatatype="20" unbalanced="0"/>
    <cacheHierarchy uniqueName="[transport].[Colonne6]" caption="Colonne6" attribute="1" defaultMemberUniqueName="[transport].[Colonne6].[All]" allUniqueName="[transport].[Colonne6].[All]" dimensionUniqueName="[transport]" displayFolder="" count="0" memberValueDatatype="20" unbalanced="0"/>
    <cacheHierarchy uniqueName="[transport].[Colonne7]" caption="Colonne7" attribute="1" defaultMemberUniqueName="[transport].[Colonne7].[All]" allUniqueName="[transport].[Colonne7].[All]" dimensionUniqueName="[transport]" displayFolder="" count="0" memberValueDatatype="20" unbalanced="0"/>
    <cacheHierarchy uniqueName="[transport].[Colonne8]" caption="Colonne8" attribute="1" defaultMemberUniqueName="[transport].[Colonne8].[All]" allUniqueName="[transport].[Colonne8].[All]" dimensionUniqueName="[transport]" displayFolder="" count="0" memberValueDatatype="20" unbalanced="0"/>
    <cacheHierarchy uniqueName="[transport].[Colonne9]" caption="Colonne9" attribute="1" defaultMemberUniqueName="[transport].[Colonne9].[All]" allUniqueName="[transport].[Colonne9].[All]" dimensionUniqueName="[transport]" displayFolder="" count="0" memberValueDatatype="20" unbalanced="0"/>
    <cacheHierarchy uniqueName="[transport].[Colonne10]" caption="Colonne10" attribute="1" defaultMemberUniqueName="[transport].[Colonne10].[All]" allUniqueName="[transport].[Colonne10].[All]" dimensionUniqueName="[transport]" displayFolder="" count="0" memberValueDatatype="20" unbalanced="0"/>
    <cacheHierarchy uniqueName="[transport].[Colonne11]" caption="Colonne11" attribute="1" defaultMemberUniqueName="[transport].[Colonne11].[All]" allUniqueName="[transport].[Colonne11].[All]" dimensionUniqueName="[transport]" displayFolder="" count="0" memberValueDatatype="20" unbalanced="0"/>
    <cacheHierarchy uniqueName="[transport].[Colonne12]" caption="Colonne12" attribute="1" defaultMemberUniqueName="[transport].[Colonne12].[All]" allUniqueName="[transport].[Colonne12].[All]" dimensionUniqueName="[transport]" displayFolder="" count="0" memberValueDatatype="20" unbalanced="0"/>
    <cacheHierarchy uniqueName="[transport].[Colonne13]" caption="Colonne13" attribute="1" defaultMemberUniqueName="[transport].[Colonne13].[All]" allUniqueName="[transport].[Colonne13].[All]" dimensionUniqueName="[transport]" displayFolder="" count="0" memberValueDatatype="20" unbalanced="0"/>
    <cacheHierarchy uniqueName="[transport].[Colonne14]" caption="Colonne14" attribute="1" defaultMemberUniqueName="[transport].[Colonne14].[All]" allUniqueName="[transport].[Colonne14].[All]" dimensionUniqueName="[transport]" displayFolder="" count="0" memberValueDatatype="20" unbalanced="0"/>
    <cacheHierarchy uniqueName="[Date].[Date (Month Index)]" caption="Date (Month Index)" attribute="1" defaultMemberUniqueName="[Date].[Date (Month Index)].[All]" allUniqueName="[Date].[Date (Month Index)].[All]" dimensionUniqueName="[Date]" displayFolder="" count="0" memberValueDatatype="20" unbalanced="0" hidden="1"/>
    <cacheHierarchy uniqueName="[Measures].[Sum of montant]" caption="Sum of montant" measure="1" displayFolder="" measureGroup="revenuXYZ" count="0">
      <extLst>
        <ext xmlns:x15="http://schemas.microsoft.com/office/spreadsheetml/2010/11/main" uri="{B97F6D7D-B522-45F9-BDA1-12C45D357490}">
          <x15:cacheHierarchy aggregatedColumn="72"/>
        </ext>
      </extLst>
    </cacheHierarchy>
    <cacheHierarchy uniqueName="[Measures].[Sum of montant 2]" caption="Sum of montant 2" measure="1" displayFolder="" measureGroup="depense" count="0">
      <extLst>
        <ext xmlns:x15="http://schemas.microsoft.com/office/spreadsheetml/2010/11/main" uri="{B97F6D7D-B522-45F9-BDA1-12C45D357490}">
          <x15:cacheHierarchy aggregatedColumn="12"/>
        </ext>
      </extLst>
    </cacheHierarchy>
    <cacheHierarchy uniqueName="[Measures].[Average of montant]" caption="Average of montant" measure="1" displayFolder="" measureGroup="depense" count="0">
      <extLst>
        <ext xmlns:x15="http://schemas.microsoft.com/office/spreadsheetml/2010/11/main" uri="{B97F6D7D-B522-45F9-BDA1-12C45D357490}">
          <x15:cacheHierarchy aggregatedColumn="12"/>
        </ext>
      </extLst>
    </cacheHierarchy>
    <cacheHierarchy uniqueName="[Measures].[reste]" caption="reste" measure="1" displayFolder="" measureGroup="revenue" count="0"/>
    <cacheHierarchy uniqueName="[Measures].[TotalRevenue]" caption="TotalRevenue" measure="1" displayFolder="" measureGroup="revenuXYZ" count="0"/>
    <cacheHierarchy uniqueName="[Measures].[TotalDepense]" caption="TotalDepense" measure="1" displayFolder="" measureGroup="depense" count="0" oneField="1">
      <fieldsUsage count="1">
        <fieldUsage x="0"/>
      </fieldsUsage>
    </cacheHierarchy>
    <cacheHierarchy uniqueName="[Measures].[TotalReste]" caption="TotalReste" measure="1" displayFolder="" measureGroup="depense" count="0"/>
    <cacheHierarchy uniqueName="[Measures].[10% du Revenu]" caption="10% du Revenu" measure="1" displayFolder="" measureGroup="revenue" count="0"/>
    <cacheHierarchy uniqueName="[Measures].[20% du Revenu]" caption="20% du Revenu" measure="1" displayFolder="" measureGroup="revenue" count="0"/>
    <cacheHierarchy uniqueName="[Measures].[Epargne]" caption="Epargne" measure="1" displayFolder="" measureGroup="revenue" count="0"/>
    <cacheHierarchy uniqueName="[Measures].[Reste Depensable]" caption="Reste Depensable" measure="1" displayFolder="" measureGroup="revenuXYZ" count="0"/>
    <cacheHierarchy uniqueName="[Measures].[dime]" caption="dime" measure="1" displayFolder="" measureGroup="revenuXYZ" count="0"/>
    <cacheHierarchy uniqueName="[Measures].[__XL_Count revenue]" caption="__XL_Count revenue" measure="1" displayFolder="" measureGroup="revenue" count="0" hidden="1"/>
    <cacheHierarchy uniqueName="[Measures].[__XL_Count maison]" caption="__XL_Count maison" measure="1" displayFolder="" measureGroup="maison" count="0" hidden="1"/>
    <cacheHierarchy uniqueName="[Measures].[__XL_Count nourriture]" caption="__XL_Count nourriture" measure="1" displayFolder="" measureGroup="nourriture" count="0" hidden="1"/>
    <cacheHierarchy uniqueName="[Measures].[__XL_Count transport]" caption="__XL_Count transport" measure="1" displayFolder="" measureGroup="transport" count="0" hidden="1"/>
    <cacheHierarchy uniqueName="[Measures].[__XL_Count revenuXYZ]" caption="__XL_Count revenuXYZ" measure="1" displayFolder="" measureGroup="revenuXYZ" count="0" hidden="1"/>
    <cacheHierarchy uniqueName="[Measures].[__XL_Count depense]" caption="__XL_Count depense" measure="1" displayFolder="" measureGroup="depense" count="0" hidden="1"/>
    <cacheHierarchy uniqueName="[Measures].[__XL_Count Table14]" caption="__XL_Count Table14" measure="1" displayFolder="" measureGroup="Date" count="0" hidden="1"/>
    <cacheHierarchy uniqueName="[Measures].[__XL_Count Epargne]" caption="__XL_Count Epargne" measure="1" displayFolder="" measureGroup="Epargne" count="0" hidden="1"/>
    <cacheHierarchy uniqueName="[Measures].[__XL_Count dime]" caption="__XL_Count dime" measure="1" displayFolder="" measureGroup="dime" count="0" hidden="1"/>
    <cacheHierarchy uniqueName="[Measures].[__No measures defined]" caption="__No measures defined" measure="1" displayFolder="" count="0" hidden="1"/>
  </cacheHierarchies>
  <kpis count="0"/>
  <dimensions count="10">
    <dimension name="Date" uniqueName="[Date]" caption="Date"/>
    <dimension name="depense" uniqueName="[depense]" caption="depense"/>
    <dimension name="dime" uniqueName="[dime]" caption="dime"/>
    <dimension name="Epargne" uniqueName="[Epargne]" caption="Epargne"/>
    <dimension name="maison" uniqueName="[maison]" caption="maison"/>
    <dimension measure="1" name="Measures" uniqueName="[Measures]" caption="Measures"/>
    <dimension name="nourriture" uniqueName="[nourriture]" caption="nourriture"/>
    <dimension name="revenue" uniqueName="[revenue]" caption="revenue"/>
    <dimension name="revenuXYZ" uniqueName="[revenuXYZ]" caption="revenuXYZ"/>
    <dimension name="transport" uniqueName="[transport]" caption="transport"/>
  </dimensions>
  <measureGroups count="9">
    <measureGroup name="Date" caption="Date"/>
    <measureGroup name="depense" caption="depense"/>
    <measureGroup name="dime" caption="dime"/>
    <measureGroup name="Epargne" caption="Epargne"/>
    <measureGroup name="maison" caption="maison"/>
    <measureGroup name="nourriture" caption="nourriture"/>
    <measureGroup name="revenue" caption="revenue"/>
    <measureGroup name="revenuXYZ" caption="revenuXYZ"/>
    <measureGroup name="transport" caption="transport"/>
  </measureGroups>
  <maps count="13">
    <map measureGroup="0" dimension="0"/>
    <map measureGroup="1" dimension="0"/>
    <map measureGroup="1" dimension="1"/>
    <map measureGroup="2" dimension="0"/>
    <map measureGroup="2" dimension="2"/>
    <map measureGroup="3" dimension="0"/>
    <map measureGroup="3" dimension="3"/>
    <map measureGroup="4" dimension="4"/>
    <map measureGroup="5" dimension="6"/>
    <map measureGroup="6" dimension="7"/>
    <map measureGroup="7" dimension="0"/>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504.703330555552" backgroundQuery="1" createdVersion="8" refreshedVersion="8" minRefreshableVersion="3" recordCount="0" supportSubquery="1" supportAdvancedDrill="1" xr:uid="{5E2F7CE2-7119-46D6-8D66-0C270495332B}">
  <cacheSource type="external" connectionId="1"/>
  <cacheFields count="5">
    <cacheField name="[Date].[Date (Month)].[Date (Month)]" caption="Date (Month)" numFmtId="0" hierarchy="3" level="1">
      <sharedItems count="1">
        <s v="juil"/>
      </sharedItems>
    </cacheField>
    <cacheField name="[Measures].[TotalRevenue]" caption="TotalRevenue" numFmtId="0" hierarchy="95" level="32767"/>
    <cacheField name="[Date].[Date (Year)].[Date (Year)]" caption="Date (Year)" numFmtId="0" hierarchy="1" level="1">
      <sharedItems containsSemiMixedTypes="0" containsNonDate="0" containsString="0"/>
    </cacheField>
    <cacheField name="[depense].[Caegorie].[Caegorie]" caption="Caegorie" numFmtId="0" hierarchy="10" level="1">
      <sharedItems containsSemiMixedTypes="0" containsNonDate="0" containsString="0"/>
    </cacheField>
    <cacheField name="[revenuXYZ].[categorie].[categorie]" caption="categorie" numFmtId="0" hierarchy="70" level="1">
      <sharedItems containsSemiMixedTypes="0" containsNonDate="0" containsString="0"/>
    </cacheField>
  </cacheFields>
  <cacheHierarchies count="113">
    <cacheHierarchy uniqueName="[Date].[Date]" caption="Date" attribute="1" time="1" defaultMemberUniqueName="[Date].[Date].[All]" allUniqueName="[Date].[Date].[All]" dimensionUniqueName="[Date]" displayFolder="" count="0" memberValueDatatype="7" unbalanced="0"/>
    <cacheHierarchy uniqueName="[Date].[Date (Year)]" caption="Date (Year)" attribute="1" defaultMemberUniqueName="[Date].[Date (Year)].[All]" allUniqueName="[Date].[Date (Year)].[All]" dimensionUniqueName="[Date]" displayFolder="" count="2" memberValueDatatype="130" unbalanced="0">
      <fieldsUsage count="2">
        <fieldUsage x="-1"/>
        <fieldUsage x="2"/>
      </fieldsUsage>
    </cacheHierarchy>
    <cacheHierarchy uniqueName="[Date].[Date (Quarter)]" caption="Date (Quarter)" attribute="1" defaultMemberUniqueName="[Date].[Date (Quarter)].[All]" allUniqueName="[Date].[Date (Quarter)].[All]" dimensionUniqueName="[Date]" displayFolder="" count="0" memberValueDatatype="130" unbalanced="0"/>
    <cacheHierarchy uniqueName="[Date].[Date (Month)]" caption="Date (Month)" attribute="1" defaultMemberUniqueName="[Date].[Date (Month)].[All]" allUniqueName="[Date].[Date (Month)].[All]" dimensionUniqueName="[Date]" displayFolder="" count="2" memberValueDatatype="130" unbalanced="0">
      <fieldsUsage count="2">
        <fieldUsage x="-1"/>
        <fieldUsage x="0"/>
      </fieldsUsage>
    </cacheHierarchy>
    <cacheHierarchy uniqueName="[Date].[week]" caption="week" attribute="1" defaultMemberUniqueName="[Date].[week].[All]" allUniqueName="[Date].[week].[All]" dimensionUniqueName="[Date]" displayFolder="" count="0" memberValueDatatype="130" unbalanced="0"/>
    <cacheHierarchy uniqueName="[Date].[Mois]" caption="Mois" attribute="1" defaultMemberUniqueName="[Date].[Mois].[All]" allUniqueName="[Date].[Mois].[All]" dimensionUniqueName="[Date]" displayFolder="" count="0" memberValueDatatype="20" unbalanced="0"/>
    <cacheHierarchy uniqueName="[Date].[Nun_Month]" caption="Nun_Month" attribute="1" defaultMemberUniqueName="[Date].[Nun_Month].[All]" allUniqueName="[Date].[Nun_Month].[All]" dimensionUniqueName="[Date]" displayFolder="" count="0" memberValueDatatype="130" unbalanced="0"/>
    <cacheHierarchy uniqueName="[depense].[Date]" caption="Date" attribute="1" time="1" defaultMemberUniqueName="[depense].[Date].[All]" allUniqueName="[depense].[Date].[All]" dimensionUniqueName="[depense]" displayFolder="" count="0" memberValueDatatype="7" unbalanced="0"/>
    <cacheHierarchy uniqueName="[depense].[mois]" caption="mois" attribute="1" defaultMemberUniqueName="[depense].[mois].[All]" allUniqueName="[depense].[mois].[All]" dimensionUniqueName="[depense]" displayFolder="" count="0" memberValueDatatype="20" unbalanced="0"/>
    <cacheHierarchy uniqueName="[depense].[source]" caption="source" attribute="1" defaultMemberUniqueName="[depense].[source].[All]" allUniqueName="[depense].[source].[All]" dimensionUniqueName="[depense]" displayFolder="" count="0" memberValueDatatype="130" unbalanced="0"/>
    <cacheHierarchy uniqueName="[depense].[Caegorie]" caption="Caegorie" attribute="1" defaultMemberUniqueName="[depense].[Caegorie].[All]" allUniqueName="[depense].[Caegorie].[All]" dimensionUniqueName="[depense]" displayFolder="" count="2" memberValueDatatype="130" unbalanced="0">
      <fieldsUsage count="2">
        <fieldUsage x="-1"/>
        <fieldUsage x="3"/>
      </fieldsUsage>
    </cacheHierarchy>
    <cacheHierarchy uniqueName="[depense].[Description]" caption="Description" attribute="1" defaultMemberUniqueName="[depense].[Description].[All]" allUniqueName="[depense].[Description].[All]" dimensionUniqueName="[depense]" displayFolder="" count="0" memberValueDatatype="130" unbalanced="0"/>
    <cacheHierarchy uniqueName="[depense].[montant]" caption="montant" attribute="1" defaultMemberUniqueName="[depense].[montant].[All]" allUniqueName="[depense].[montant].[All]" dimensionUniqueName="[depense]" displayFolder="" count="0" memberValueDatatype="20" unbalanced="0"/>
    <cacheHierarchy uniqueName="[depense].[montant_CFA]" caption="montant_CFA" attribute="1" defaultMemberUniqueName="[depense].[montant_CFA].[All]" allUniqueName="[depense].[montant_CFA].[All]" dimensionUniqueName="[depense]" displayFolder="" count="0" memberValueDatatype="20" unbalanced="0"/>
    <cacheHierarchy uniqueName="[depense].[ID]" caption="ID" attribute="1" defaultMemberUniqueName="[depense].[ID].[All]" allUniqueName="[depense].[ID].[All]" dimensionUniqueName="[depense]" displayFolder="" count="0" memberValueDatatype="20" unbalanced="0"/>
    <cacheHierarchy uniqueName="[dime].[Date]" caption="Date" attribute="1" time="1" defaultMemberUniqueName="[dime].[Date].[All]" allUniqueName="[dime].[Date].[All]" dimensionUniqueName="[dime]" displayFolder="" count="0" memberValueDatatype="7" unbalanced="0"/>
    <cacheHierarchy uniqueName="[dime].[ID_revenue]" caption="ID_revenue" attribute="1" defaultMemberUniqueName="[dime].[ID_revenue].[All]" allUniqueName="[dime].[ID_revenue].[All]" dimensionUniqueName="[dime]" displayFolder="" count="0" memberValueDatatype="20" unbalanced="0"/>
    <cacheHierarchy uniqueName="[dime].[Description]" caption="Description" attribute="1" defaultMemberUniqueName="[dime].[Description].[All]" allUniqueName="[dime].[Description].[All]" dimensionUniqueName="[dime]" displayFolder="" count="0" memberValueDatatype="130" unbalanced="0"/>
    <cacheHierarchy uniqueName="[dime].[source]" caption="source" attribute="1" defaultMemberUniqueName="[dime].[source].[All]" allUniqueName="[dime].[source].[All]" dimensionUniqueName="[dime]" displayFolder="" count="0" memberValueDatatype="130" unbalanced="0"/>
    <cacheHierarchy uniqueName="[dime].[montant]" caption="montant" attribute="1" defaultMemberUniqueName="[dime].[montant].[All]" allUniqueName="[dime].[montant].[All]" dimensionUniqueName="[dime]" displayFolder="" count="0" memberValueDatatype="5" unbalanced="0"/>
    <cacheHierarchy uniqueName="[Epargne].[ID]" caption="ID" attribute="1" defaultMemberUniqueName="[Epargne].[ID].[All]" allUniqueName="[Epargne].[ID].[All]" dimensionUniqueName="[Epargne]" displayFolder="" count="0" memberValueDatatype="20" unbalanced="0"/>
    <cacheHierarchy uniqueName="[Epargne].[date]" caption="date" attribute="1" time="1" defaultMemberUniqueName="[Epargne].[date].[All]" allUniqueName="[Epargne].[date].[All]" dimensionUniqueName="[Epargne]" displayFolder="" count="0" memberValueDatatype="7" unbalanced="0"/>
    <cacheHierarchy uniqueName="[Epargne].[source]" caption="source" attribute="1" defaultMemberUniqueName="[Epargne].[source].[All]" allUniqueName="[Epargne].[source].[All]" dimensionUniqueName="[Epargne]" displayFolder="" count="0" memberValueDatatype="130" unbalanced="0"/>
    <cacheHierarchy uniqueName="[Epargne].[Description]" caption="Description" attribute="1" defaultMemberUniqueName="[Epargne].[Description].[All]" allUniqueName="[Epargne].[Description].[All]" dimensionUniqueName="[Epargne]" displayFolder="" count="0" memberValueDatatype="130" unbalanced="0"/>
    <cacheHierarchy uniqueName="[Epargne].[montant]" caption="montant" attribute="1" defaultMemberUniqueName="[Epargne].[montant].[All]" allUniqueName="[Epargne].[montant].[All]" dimensionUniqueName="[Epargne]" displayFolder="" count="0" memberValueDatatype="5" unbalanced="0"/>
    <cacheHierarchy uniqueName="[Epargne].[montant_CFA]" caption="montant_CFA" attribute="1" defaultMemberUniqueName="[Epargne].[montant_CFA].[All]" allUniqueName="[Epargne].[montant_CFA].[All]" dimensionUniqueName="[Epargne]" displayFolder="" count="0" memberValueDatatype="5" unbalanced="0"/>
    <cacheHierarchy uniqueName="[maison].[Colonne1]" caption="Colonne1" attribute="1" defaultMemberUniqueName="[maison].[Colonne1].[All]" allUniqueName="[maison].[Colonne1].[All]" dimensionUniqueName="[maison]" displayFolder="" count="0" memberValueDatatype="130" unbalanced="0"/>
    <cacheHierarchy uniqueName="[maison].[Colonne2]" caption="Colonne2" attribute="1" defaultMemberUniqueName="[maison].[Colonne2].[All]" allUniqueName="[maison].[Colonne2].[All]" dimensionUniqueName="[maison]" displayFolder="" count="0" memberValueDatatype="20" unbalanced="0"/>
    <cacheHierarchy uniqueName="[maison].[Colonne3]" caption="Colonne3" attribute="1" defaultMemberUniqueName="[maison].[Colonne3].[All]" allUniqueName="[maison].[Colonne3].[All]" dimensionUniqueName="[maison]" displayFolder="" count="0" memberValueDatatype="20" unbalanced="0"/>
    <cacheHierarchy uniqueName="[maison].[Colonne4]" caption="Colonne4" attribute="1" defaultMemberUniqueName="[maison].[Colonne4].[All]" allUniqueName="[maison].[Colonne4].[All]" dimensionUniqueName="[maison]" displayFolder="" count="0" memberValueDatatype="20" unbalanced="0"/>
    <cacheHierarchy uniqueName="[maison].[Colonne5]" caption="Colonne5" attribute="1" defaultMemberUniqueName="[maison].[Colonne5].[All]" allUniqueName="[maison].[Colonne5].[All]" dimensionUniqueName="[maison]" displayFolder="" count="0" memberValueDatatype="20" unbalanced="0"/>
    <cacheHierarchy uniqueName="[maison].[Colonne6]" caption="Colonne6" attribute="1" defaultMemberUniqueName="[maison].[Colonne6].[All]" allUniqueName="[maison].[Colonne6].[All]" dimensionUniqueName="[maison]" displayFolder="" count="0" memberValueDatatype="20" unbalanced="0"/>
    <cacheHierarchy uniqueName="[maison].[Colonne7]" caption="Colonne7" attribute="1" defaultMemberUniqueName="[maison].[Colonne7].[All]" allUniqueName="[maison].[Colonne7].[All]" dimensionUniqueName="[maison]" displayFolder="" count="0" memberValueDatatype="20" unbalanced="0"/>
    <cacheHierarchy uniqueName="[maison].[Colonne8]" caption="Colonne8" attribute="1" defaultMemberUniqueName="[maison].[Colonne8].[All]" allUniqueName="[maison].[Colonne8].[All]" dimensionUniqueName="[maison]" displayFolder="" count="0" memberValueDatatype="20" unbalanced="0"/>
    <cacheHierarchy uniqueName="[maison].[Colonne9]" caption="Colonne9" attribute="1" defaultMemberUniqueName="[maison].[Colonne9].[All]" allUniqueName="[maison].[Colonne9].[All]" dimensionUniqueName="[maison]" displayFolder="" count="0" memberValueDatatype="20" unbalanced="0"/>
    <cacheHierarchy uniqueName="[maison].[Colonne10]" caption="Colonne10" attribute="1" defaultMemberUniqueName="[maison].[Colonne10].[All]" allUniqueName="[maison].[Colonne10].[All]" dimensionUniqueName="[maison]" displayFolder="" count="0" memberValueDatatype="20" unbalanced="0"/>
    <cacheHierarchy uniqueName="[maison].[Colonne11]" caption="Colonne11" attribute="1" defaultMemberUniqueName="[maison].[Colonne11].[All]" allUniqueName="[maison].[Colonne11].[All]" dimensionUniqueName="[maison]" displayFolder="" count="0" memberValueDatatype="20" unbalanced="0"/>
    <cacheHierarchy uniqueName="[maison].[Colonne12]" caption="Colonne12" attribute="1" defaultMemberUniqueName="[maison].[Colonne12].[All]" allUniqueName="[maison].[Colonne12].[All]" dimensionUniqueName="[maison]" displayFolder="" count="0" memberValueDatatype="20" unbalanced="0"/>
    <cacheHierarchy uniqueName="[maison].[Colonne13]" caption="Colonne13" attribute="1" defaultMemberUniqueName="[maison].[Colonne13].[All]" allUniqueName="[maison].[Colonne13].[All]" dimensionUniqueName="[maison]" displayFolder="" count="0" memberValueDatatype="20" unbalanced="0"/>
    <cacheHierarchy uniqueName="[maison].[Colonne14]" caption="Colonne14" attribute="1" defaultMemberUniqueName="[maison].[Colonne14].[All]" allUniqueName="[maison].[Colonne14].[All]" dimensionUniqueName="[maison]" displayFolder="" count="0" memberValueDatatype="20" unbalanced="0"/>
    <cacheHierarchy uniqueName="[nourriture].[Colonne1]" caption="Colonne1" attribute="1" defaultMemberUniqueName="[nourriture].[Colonne1].[All]" allUniqueName="[nourriture].[Colonne1].[All]" dimensionUniqueName="[nourriture]" displayFolder="" count="0" memberValueDatatype="130" unbalanced="0"/>
    <cacheHierarchy uniqueName="[nourriture].[Colonne2]" caption="Colonne2" attribute="1" defaultMemberUniqueName="[nourriture].[Colonne2].[All]" allUniqueName="[nourriture].[Colonne2].[All]" dimensionUniqueName="[nourriture]" displayFolder="" count="0" memberValueDatatype="20" unbalanced="0"/>
    <cacheHierarchy uniqueName="[nourriture].[Colonne3]" caption="Colonne3" attribute="1" defaultMemberUniqueName="[nourriture].[Colonne3].[All]" allUniqueName="[nourriture].[Colonne3].[All]" dimensionUniqueName="[nourriture]" displayFolder="" count="0" memberValueDatatype="20" unbalanced="0"/>
    <cacheHierarchy uniqueName="[nourriture].[Colonne4]" caption="Colonne4" attribute="1" defaultMemberUniqueName="[nourriture].[Colonne4].[All]" allUniqueName="[nourriture].[Colonne4].[All]" dimensionUniqueName="[nourriture]" displayFolder="" count="0" memberValueDatatype="20" unbalanced="0"/>
    <cacheHierarchy uniqueName="[nourriture].[Colonne5]" caption="Colonne5" attribute="1" defaultMemberUniqueName="[nourriture].[Colonne5].[All]" allUniqueName="[nourriture].[Colonne5].[All]" dimensionUniqueName="[nourriture]" displayFolder="" count="0" memberValueDatatype="20" unbalanced="0"/>
    <cacheHierarchy uniqueName="[nourriture].[Colonne6]" caption="Colonne6" attribute="1" defaultMemberUniqueName="[nourriture].[Colonne6].[All]" allUniqueName="[nourriture].[Colonne6].[All]" dimensionUniqueName="[nourriture]" displayFolder="" count="0" memberValueDatatype="20" unbalanced="0"/>
    <cacheHierarchy uniqueName="[nourriture].[Colonne7]" caption="Colonne7" attribute="1" defaultMemberUniqueName="[nourriture].[Colonne7].[All]" allUniqueName="[nourriture].[Colonne7].[All]" dimensionUniqueName="[nourriture]" displayFolder="" count="0" memberValueDatatype="20" unbalanced="0"/>
    <cacheHierarchy uniqueName="[nourriture].[Colonne8]" caption="Colonne8" attribute="1" defaultMemberUniqueName="[nourriture].[Colonne8].[All]" allUniqueName="[nourriture].[Colonne8].[All]" dimensionUniqueName="[nourriture]" displayFolder="" count="0" memberValueDatatype="20" unbalanced="0"/>
    <cacheHierarchy uniqueName="[nourriture].[Colonne9]" caption="Colonne9" attribute="1" defaultMemberUniqueName="[nourriture].[Colonne9].[All]" allUniqueName="[nourriture].[Colonne9].[All]" dimensionUniqueName="[nourriture]" displayFolder="" count="0" memberValueDatatype="20" unbalanced="0"/>
    <cacheHierarchy uniqueName="[nourriture].[Colonne10]" caption="Colonne10" attribute="1" defaultMemberUniqueName="[nourriture].[Colonne10].[All]" allUniqueName="[nourriture].[Colonne10].[All]" dimensionUniqueName="[nourriture]" displayFolder="" count="0" memberValueDatatype="20" unbalanced="0"/>
    <cacheHierarchy uniqueName="[nourriture].[Colonne11]" caption="Colonne11" attribute="1" defaultMemberUniqueName="[nourriture].[Colonne11].[All]" allUniqueName="[nourriture].[Colonne11].[All]" dimensionUniqueName="[nourriture]" displayFolder="" count="0" memberValueDatatype="20" unbalanced="0"/>
    <cacheHierarchy uniqueName="[nourriture].[Colonne12]" caption="Colonne12" attribute="1" defaultMemberUniqueName="[nourriture].[Colonne12].[All]" allUniqueName="[nourriture].[Colonne12].[All]" dimensionUniqueName="[nourriture]" displayFolder="" count="0" memberValueDatatype="20" unbalanced="0"/>
    <cacheHierarchy uniqueName="[nourriture].[Colonne13]" caption="Colonne13" attribute="1" defaultMemberUniqueName="[nourriture].[Colonne13].[All]" allUniqueName="[nourriture].[Colonne13].[All]" dimensionUniqueName="[nourriture]" displayFolder="" count="0" memberValueDatatype="20" unbalanced="0"/>
    <cacheHierarchy uniqueName="[nourriture].[Colonne14]" caption="Colonne14" attribute="1" defaultMemberUniqueName="[nourriture].[Colonne14].[All]" allUniqueName="[nourriture].[Colonne14].[All]" dimensionUniqueName="[nourriture]" displayFolder="" count="0" memberValueDatatype="20" unbalanced="0"/>
    <cacheHierarchy uniqueName="[revenue].[Elements]" caption="Elements" attribute="1" defaultMemberUniqueName="[revenue].[Elements].[All]" allUniqueName="[revenue].[Elements].[All]" dimensionUniqueName="[revenue]" displayFolder="" count="0" memberValueDatatype="130" unbalanced="0"/>
    <cacheHierarchy uniqueName="[revenue].[Janv.]" caption="Janv." attribute="1" defaultMemberUniqueName="[revenue].[Janv.].[All]" allUniqueName="[revenue].[Janv.].[All]" dimensionUniqueName="[revenue]" displayFolder="" count="0" memberValueDatatype="20" unbalanced="0"/>
    <cacheHierarchy uniqueName="[revenue].[Fev.]" caption="Fev." attribute="1" defaultMemberUniqueName="[revenue].[Fev.].[All]" allUniqueName="[revenue].[Fev.].[All]" dimensionUniqueName="[revenue]" displayFolder="" count="0" memberValueDatatype="20" unbalanced="0"/>
    <cacheHierarchy uniqueName="[revenue].[Mars.]" caption="Mars." attribute="1" defaultMemberUniqueName="[revenue].[Mars.].[All]" allUniqueName="[revenue].[Mars.].[All]" dimensionUniqueName="[revenue]" displayFolder="" count="0" memberValueDatatype="20" unbalanced="0"/>
    <cacheHierarchy uniqueName="[revenue].[Avril]" caption="Avril" attribute="1" defaultMemberUniqueName="[revenue].[Avril].[All]" allUniqueName="[revenue].[Avril].[All]" dimensionUniqueName="[revenue]" displayFolder="" count="0" memberValueDatatype="20" unbalanced="0"/>
    <cacheHierarchy uniqueName="[revenue].[Mai]" caption="Mai" attribute="1" defaultMemberUniqueName="[revenue].[Mai].[All]" allUniqueName="[revenue].[Mai].[All]" dimensionUniqueName="[revenue]" displayFolder="" count="0" memberValueDatatype="20" unbalanced="0"/>
    <cacheHierarchy uniqueName="[revenue].[Juin]" caption="Juin" attribute="1" defaultMemberUniqueName="[revenue].[Juin].[All]" allUniqueName="[revenue].[Juin].[All]" dimensionUniqueName="[revenue]" displayFolder="" count="0" memberValueDatatype="20" unbalanced="0"/>
    <cacheHierarchy uniqueName="[revenue].[Juillet]" caption="Juillet" attribute="1" defaultMemberUniqueName="[revenue].[Juillet].[All]" allUniqueName="[revenue].[Juillet].[All]" dimensionUniqueName="[revenue]" displayFolder="" count="0" memberValueDatatype="20" unbalanced="0"/>
    <cacheHierarchy uniqueName="[revenue].[Aout]" caption="Aout" attribute="1" defaultMemberUniqueName="[revenue].[Aout].[All]" allUniqueName="[revenue].[Aout].[All]" dimensionUniqueName="[revenue]" displayFolder="" count="0" memberValueDatatype="20" unbalanced="0"/>
    <cacheHierarchy uniqueName="[revenue].[Sept.]" caption="Sept." attribute="1" defaultMemberUniqueName="[revenue].[Sept.].[All]" allUniqueName="[revenue].[Sept.].[All]" dimensionUniqueName="[revenue]" displayFolder="" count="0" memberValueDatatype="20" unbalanced="0"/>
    <cacheHierarchy uniqueName="[revenue].[Oct.]" caption="Oct." attribute="1" defaultMemberUniqueName="[revenue].[Oct.].[All]" allUniqueName="[revenue].[Oct.].[All]" dimensionUniqueName="[revenue]" displayFolder="" count="0" memberValueDatatype="20" unbalanced="0"/>
    <cacheHierarchy uniqueName="[revenue].[Nov.]" caption="Nov." attribute="1" defaultMemberUniqueName="[revenue].[Nov.].[All]" allUniqueName="[revenue].[Nov.].[All]" dimensionUniqueName="[revenue]" displayFolder="" count="0" memberValueDatatype="20" unbalanced="0"/>
    <cacheHierarchy uniqueName="[revenue].[Dec]" caption="Dec" attribute="1" defaultMemberUniqueName="[revenue].[Dec].[All]" allUniqueName="[revenue].[Dec].[All]" dimensionUniqueName="[revenue]" displayFolder="" count="0" memberValueDatatype="20" unbalanced="0"/>
    <cacheHierarchy uniqueName="[revenue].[Year to Date]" caption="Year to Date" attribute="1" defaultMemberUniqueName="[revenue].[Year to Date].[All]" allUniqueName="[revenue].[Year to Date].[All]" dimensionUniqueName="[revenue]" displayFolder="" count="0" memberValueDatatype="20" unbalanced="0"/>
    <cacheHierarchy uniqueName="[revenuXYZ].[Date]" caption="Date" attribute="1" time="1" defaultMemberUniqueName="[revenuXYZ].[Date].[All]" allUniqueName="[revenuXYZ].[Date].[All]" dimensionUniqueName="[revenuXYZ]" displayFolder="" count="0" memberValueDatatype="7" unbalanced="0"/>
    <cacheHierarchy uniqueName="[revenuXYZ].[mois]" caption="mois" attribute="1" defaultMemberUniqueName="[revenuXYZ].[mois].[All]" allUniqueName="[revenuXYZ].[mois].[All]" dimensionUniqueName="[revenuXYZ]" displayFolder="" count="0" memberValueDatatype="20" unbalanced="0"/>
    <cacheHierarchy uniqueName="[revenuXYZ].[categorie]" caption="categorie" attribute="1" defaultMemberUniqueName="[revenuXYZ].[categorie].[All]" allUniqueName="[revenuXYZ].[categorie].[All]" dimensionUniqueName="[revenuXYZ]" displayFolder="" count="2" memberValueDatatype="130" unbalanced="0">
      <fieldsUsage count="2">
        <fieldUsage x="-1"/>
        <fieldUsage x="4"/>
      </fieldsUsage>
    </cacheHierarchy>
    <cacheHierarchy uniqueName="[revenuXYZ].[Description]" caption="Description" attribute="1" defaultMemberUniqueName="[revenuXYZ].[Description].[All]" allUniqueName="[revenuXYZ].[Description].[All]" dimensionUniqueName="[revenuXYZ]" displayFolder="" count="0" memberValueDatatype="130" unbalanced="0"/>
    <cacheHierarchy uniqueName="[revenuXYZ].[montant]" caption="montant" attribute="1" defaultMemberUniqueName="[revenuXYZ].[montant].[All]" allUniqueName="[revenuXYZ].[montant].[All]" dimensionUniqueName="[revenuXYZ]" displayFolder="" count="0" memberValueDatatype="20" unbalanced="0"/>
    <cacheHierarchy uniqueName="[revenuXYZ].[montant_CFA]" caption="montant_CFA" attribute="1" defaultMemberUniqueName="[revenuXYZ].[montant_CFA].[All]" allUniqueName="[revenuXYZ].[montant_CFA].[All]" dimensionUniqueName="[revenuXYZ]" displayFolder="" count="0" memberValueDatatype="5" unbalanced="0"/>
    <cacheHierarchy uniqueName="[revenuXYZ].[source]" caption="source" attribute="1" defaultMemberUniqueName="[revenuXYZ].[source].[All]" allUniqueName="[revenuXYZ].[source].[All]" dimensionUniqueName="[revenuXYZ]" displayFolder="" count="0" memberValueDatatype="130" unbalanced="0"/>
    <cacheHierarchy uniqueName="[revenuXYZ].[ID]" caption="ID" attribute="1" defaultMemberUniqueName="[revenuXYZ].[ID].[All]" allUniqueName="[revenuXYZ].[ID].[All]" dimensionUniqueName="[revenuXYZ]" displayFolder="" count="0" memberValueDatatype="20" unbalanced="0"/>
    <cacheHierarchy uniqueName="[transport].[Colonne1]" caption="Colonne1" attribute="1" defaultMemberUniqueName="[transport].[Colonne1].[All]" allUniqueName="[transport].[Colonne1].[All]" dimensionUniqueName="[transport]" displayFolder="" count="0" memberValueDatatype="130" unbalanced="0"/>
    <cacheHierarchy uniqueName="[transport].[Colonne2]" caption="Colonne2" attribute="1" defaultMemberUniqueName="[transport].[Colonne2].[All]" allUniqueName="[transport].[Colonne2].[All]" dimensionUniqueName="[transport]" displayFolder="" count="0" memberValueDatatype="20" unbalanced="0"/>
    <cacheHierarchy uniqueName="[transport].[Colonne3]" caption="Colonne3" attribute="1" defaultMemberUniqueName="[transport].[Colonne3].[All]" allUniqueName="[transport].[Colonne3].[All]" dimensionUniqueName="[transport]" displayFolder="" count="0" memberValueDatatype="20" unbalanced="0"/>
    <cacheHierarchy uniqueName="[transport].[Colonne4]" caption="Colonne4" attribute="1" defaultMemberUniqueName="[transport].[Colonne4].[All]" allUniqueName="[transport].[Colonne4].[All]" dimensionUniqueName="[transport]" displayFolder="" count="0" memberValueDatatype="20" unbalanced="0"/>
    <cacheHierarchy uniqueName="[transport].[Colonne5]" caption="Colonne5" attribute="1" defaultMemberUniqueName="[transport].[Colonne5].[All]" allUniqueName="[transport].[Colonne5].[All]" dimensionUniqueName="[transport]" displayFolder="" count="0" memberValueDatatype="20" unbalanced="0"/>
    <cacheHierarchy uniqueName="[transport].[Colonne6]" caption="Colonne6" attribute="1" defaultMemberUniqueName="[transport].[Colonne6].[All]" allUniqueName="[transport].[Colonne6].[All]" dimensionUniqueName="[transport]" displayFolder="" count="0" memberValueDatatype="20" unbalanced="0"/>
    <cacheHierarchy uniqueName="[transport].[Colonne7]" caption="Colonne7" attribute="1" defaultMemberUniqueName="[transport].[Colonne7].[All]" allUniqueName="[transport].[Colonne7].[All]" dimensionUniqueName="[transport]" displayFolder="" count="0" memberValueDatatype="20" unbalanced="0"/>
    <cacheHierarchy uniqueName="[transport].[Colonne8]" caption="Colonne8" attribute="1" defaultMemberUniqueName="[transport].[Colonne8].[All]" allUniqueName="[transport].[Colonne8].[All]" dimensionUniqueName="[transport]" displayFolder="" count="0" memberValueDatatype="20" unbalanced="0"/>
    <cacheHierarchy uniqueName="[transport].[Colonne9]" caption="Colonne9" attribute="1" defaultMemberUniqueName="[transport].[Colonne9].[All]" allUniqueName="[transport].[Colonne9].[All]" dimensionUniqueName="[transport]" displayFolder="" count="0" memberValueDatatype="20" unbalanced="0"/>
    <cacheHierarchy uniqueName="[transport].[Colonne10]" caption="Colonne10" attribute="1" defaultMemberUniqueName="[transport].[Colonne10].[All]" allUniqueName="[transport].[Colonne10].[All]" dimensionUniqueName="[transport]" displayFolder="" count="0" memberValueDatatype="20" unbalanced="0"/>
    <cacheHierarchy uniqueName="[transport].[Colonne11]" caption="Colonne11" attribute="1" defaultMemberUniqueName="[transport].[Colonne11].[All]" allUniqueName="[transport].[Colonne11].[All]" dimensionUniqueName="[transport]" displayFolder="" count="0" memberValueDatatype="20" unbalanced="0"/>
    <cacheHierarchy uniqueName="[transport].[Colonne12]" caption="Colonne12" attribute="1" defaultMemberUniqueName="[transport].[Colonne12].[All]" allUniqueName="[transport].[Colonne12].[All]" dimensionUniqueName="[transport]" displayFolder="" count="0" memberValueDatatype="20" unbalanced="0"/>
    <cacheHierarchy uniqueName="[transport].[Colonne13]" caption="Colonne13" attribute="1" defaultMemberUniqueName="[transport].[Colonne13].[All]" allUniqueName="[transport].[Colonne13].[All]" dimensionUniqueName="[transport]" displayFolder="" count="0" memberValueDatatype="20" unbalanced="0"/>
    <cacheHierarchy uniqueName="[transport].[Colonne14]" caption="Colonne14" attribute="1" defaultMemberUniqueName="[transport].[Colonne14].[All]" allUniqueName="[transport].[Colonne14].[All]" dimensionUniqueName="[transport]" displayFolder="" count="0" memberValueDatatype="20" unbalanced="0"/>
    <cacheHierarchy uniqueName="[Date].[Date (Month Index)]" caption="Date (Month Index)" attribute="1" defaultMemberUniqueName="[Date].[Date (Month Index)].[All]" allUniqueName="[Date].[Date (Month Index)].[All]" dimensionUniqueName="[Date]" displayFolder="" count="0" memberValueDatatype="20" unbalanced="0" hidden="1"/>
    <cacheHierarchy uniqueName="[Measures].[Sum of montant]" caption="Sum of montant" measure="1" displayFolder="" measureGroup="revenuXYZ" count="0">
      <extLst>
        <ext xmlns:x15="http://schemas.microsoft.com/office/spreadsheetml/2010/11/main" uri="{B97F6D7D-B522-45F9-BDA1-12C45D357490}">
          <x15:cacheHierarchy aggregatedColumn="72"/>
        </ext>
      </extLst>
    </cacheHierarchy>
    <cacheHierarchy uniqueName="[Measures].[Sum of montant 2]" caption="Sum of montant 2" measure="1" displayFolder="" measureGroup="depense" count="0">
      <extLst>
        <ext xmlns:x15="http://schemas.microsoft.com/office/spreadsheetml/2010/11/main" uri="{B97F6D7D-B522-45F9-BDA1-12C45D357490}">
          <x15:cacheHierarchy aggregatedColumn="12"/>
        </ext>
      </extLst>
    </cacheHierarchy>
    <cacheHierarchy uniqueName="[Measures].[Average of montant]" caption="Average of montant" measure="1" displayFolder="" measureGroup="depense" count="0">
      <extLst>
        <ext xmlns:x15="http://schemas.microsoft.com/office/spreadsheetml/2010/11/main" uri="{B97F6D7D-B522-45F9-BDA1-12C45D357490}">
          <x15:cacheHierarchy aggregatedColumn="12"/>
        </ext>
      </extLst>
    </cacheHierarchy>
    <cacheHierarchy uniqueName="[Measures].[reste]" caption="reste" measure="1" displayFolder="" measureGroup="revenue" count="0"/>
    <cacheHierarchy uniqueName="[Measures].[TotalRevenue]" caption="TotalRevenue" measure="1" displayFolder="" measureGroup="revenuXYZ" count="0" oneField="1">
      <fieldsUsage count="1">
        <fieldUsage x="1"/>
      </fieldsUsage>
    </cacheHierarchy>
    <cacheHierarchy uniqueName="[Measures].[TotalDepense]" caption="TotalDepense" measure="1" displayFolder="" measureGroup="depense" count="0"/>
    <cacheHierarchy uniqueName="[Measures].[TotalReste]" caption="TotalReste" measure="1" displayFolder="" measureGroup="depense" count="0"/>
    <cacheHierarchy uniqueName="[Measures].[10% du Revenu]" caption="10% du Revenu" measure="1" displayFolder="" measureGroup="revenue" count="0"/>
    <cacheHierarchy uniqueName="[Measures].[20% du Revenu]" caption="20% du Revenu" measure="1" displayFolder="" measureGroup="revenue" count="0"/>
    <cacheHierarchy uniqueName="[Measures].[Epargne]" caption="Epargne" measure="1" displayFolder="" measureGroup="revenue" count="0"/>
    <cacheHierarchy uniqueName="[Measures].[Reste Depensable]" caption="Reste Depensable" measure="1" displayFolder="" measureGroup="revenuXYZ" count="0"/>
    <cacheHierarchy uniqueName="[Measures].[dime]" caption="dime" measure="1" displayFolder="" measureGroup="revenuXYZ" count="0"/>
    <cacheHierarchy uniqueName="[Measures].[__XL_Count revenue]" caption="__XL_Count revenue" measure="1" displayFolder="" measureGroup="revenue" count="0" hidden="1"/>
    <cacheHierarchy uniqueName="[Measures].[__XL_Count maison]" caption="__XL_Count maison" measure="1" displayFolder="" measureGroup="maison" count="0" hidden="1"/>
    <cacheHierarchy uniqueName="[Measures].[__XL_Count nourriture]" caption="__XL_Count nourriture" measure="1" displayFolder="" measureGroup="nourriture" count="0" hidden="1"/>
    <cacheHierarchy uniqueName="[Measures].[__XL_Count transport]" caption="__XL_Count transport" measure="1" displayFolder="" measureGroup="transport" count="0" hidden="1"/>
    <cacheHierarchy uniqueName="[Measures].[__XL_Count revenuXYZ]" caption="__XL_Count revenuXYZ" measure="1" displayFolder="" measureGroup="revenuXYZ" count="0" hidden="1"/>
    <cacheHierarchy uniqueName="[Measures].[__XL_Count depense]" caption="__XL_Count depense" measure="1" displayFolder="" measureGroup="depense" count="0" hidden="1"/>
    <cacheHierarchy uniqueName="[Measures].[__XL_Count Table14]" caption="__XL_Count Table14" measure="1" displayFolder="" measureGroup="Date" count="0" hidden="1"/>
    <cacheHierarchy uniqueName="[Measures].[__XL_Count Epargne]" caption="__XL_Count Epargne" measure="1" displayFolder="" measureGroup="Epargne" count="0" hidden="1"/>
    <cacheHierarchy uniqueName="[Measures].[__XL_Count dime]" caption="__XL_Count dime" measure="1" displayFolder="" measureGroup="dime" count="0" hidden="1"/>
    <cacheHierarchy uniqueName="[Measures].[__No measures defined]" caption="__No measures defined" measure="1" displayFolder="" count="0" hidden="1"/>
  </cacheHierarchies>
  <kpis count="0"/>
  <dimensions count="10">
    <dimension name="Date" uniqueName="[Date]" caption="Date"/>
    <dimension name="depense" uniqueName="[depense]" caption="depense"/>
    <dimension name="dime" uniqueName="[dime]" caption="dime"/>
    <dimension name="Epargne" uniqueName="[Epargne]" caption="Epargne"/>
    <dimension name="maison" uniqueName="[maison]" caption="maison"/>
    <dimension measure="1" name="Measures" uniqueName="[Measures]" caption="Measures"/>
    <dimension name="nourriture" uniqueName="[nourriture]" caption="nourriture"/>
    <dimension name="revenue" uniqueName="[revenue]" caption="revenue"/>
    <dimension name="revenuXYZ" uniqueName="[revenuXYZ]" caption="revenuXYZ"/>
    <dimension name="transport" uniqueName="[transport]" caption="transport"/>
  </dimensions>
  <measureGroups count="9">
    <measureGroup name="Date" caption="Date"/>
    <measureGroup name="depense" caption="depense"/>
    <measureGroup name="dime" caption="dime"/>
    <measureGroup name="Epargne" caption="Epargne"/>
    <measureGroup name="maison" caption="maison"/>
    <measureGroup name="nourriture" caption="nourriture"/>
    <measureGroup name="revenue" caption="revenue"/>
    <measureGroup name="revenuXYZ" caption="revenuXYZ"/>
    <measureGroup name="transport" caption="transport"/>
  </measureGroups>
  <maps count="13">
    <map measureGroup="0" dimension="0"/>
    <map measureGroup="1" dimension="0"/>
    <map measureGroup="1" dimension="1"/>
    <map measureGroup="2" dimension="0"/>
    <map measureGroup="2" dimension="2"/>
    <map measureGroup="3" dimension="0"/>
    <map measureGroup="3" dimension="3"/>
    <map measureGroup="4" dimension="4"/>
    <map measureGroup="5" dimension="6"/>
    <map measureGroup="6" dimension="7"/>
    <map measureGroup="7" dimension="0"/>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504.703331365738" backgroundQuery="1" createdVersion="8" refreshedVersion="8" minRefreshableVersion="3" recordCount="0" supportSubquery="1" supportAdvancedDrill="1" xr:uid="{6AFF2647-B01C-4E37-85FE-5E4C757DBB81}">
  <cacheSource type="external" connectionId="1"/>
  <cacheFields count="5">
    <cacheField name="[Measures].[Average of montant]" caption="Average of montant" numFmtId="0" hierarchy="93" level="32767"/>
    <cacheField name="[Date].[Date (Year)].[Date (Year)]" caption="Date (Year)" numFmtId="0" hierarchy="1" level="1">
      <sharedItems containsSemiMixedTypes="0" containsNonDate="0" containsString="0"/>
    </cacheField>
    <cacheField name="[Date].[Date (Month)].[Date (Month)]" caption="Date (Month)" numFmtId="0" hierarchy="3" level="1">
      <sharedItems containsSemiMixedTypes="0" containsNonDate="0" containsString="0"/>
    </cacheField>
    <cacheField name="[depense].[Caegorie].[Caegorie]" caption="Caegorie" numFmtId="0" hierarchy="10" level="1">
      <sharedItems containsSemiMixedTypes="0" containsNonDate="0" containsString="0"/>
    </cacheField>
    <cacheField name="[revenuXYZ].[categorie].[categorie]" caption="categorie" numFmtId="0" hierarchy="70" level="1">
      <sharedItems containsSemiMixedTypes="0" containsNonDate="0" containsString="0"/>
    </cacheField>
  </cacheFields>
  <cacheHierarchies count="113">
    <cacheHierarchy uniqueName="[Date].[Date]" caption="Date" attribute="1" time="1" defaultMemberUniqueName="[Date].[Date].[All]" allUniqueName="[Date].[Date].[All]" dimensionUniqueName="[Date]" displayFolder="" count="0" memberValueDatatype="7" unbalanced="0"/>
    <cacheHierarchy uniqueName="[Date].[Date (Year)]" caption="Date (Year)" attribute="1" defaultMemberUniqueName="[Date].[Date (Year)].[All]" allUniqueName="[Date].[Date (Year)].[All]" dimensionUniqueName="[Date]" displayFolder="" count="2" memberValueDatatype="130" unbalanced="0">
      <fieldsUsage count="2">
        <fieldUsage x="-1"/>
        <fieldUsage x="1"/>
      </fieldsUsage>
    </cacheHierarchy>
    <cacheHierarchy uniqueName="[Date].[Date (Quarter)]" caption="Date (Quarter)" attribute="1" defaultMemberUniqueName="[Date].[Date (Quarter)].[All]" allUniqueName="[Date].[Date (Quarter)].[All]" dimensionUniqueName="[Date]" displayFolder="" count="0" memberValueDatatype="130" unbalanced="0"/>
    <cacheHierarchy uniqueName="[Date].[Date (Month)]" caption="Date (Month)" attribute="1" defaultMemberUniqueName="[Date].[Date (Month)].[All]" allUniqueName="[Date].[Date (Month)].[All]" dimensionUniqueName="[Date]" displayFolder="" count="2" memberValueDatatype="130" unbalanced="0">
      <fieldsUsage count="2">
        <fieldUsage x="-1"/>
        <fieldUsage x="2"/>
      </fieldsUsage>
    </cacheHierarchy>
    <cacheHierarchy uniqueName="[Date].[week]" caption="week" attribute="1" defaultMemberUniqueName="[Date].[week].[All]" allUniqueName="[Date].[week].[All]" dimensionUniqueName="[Date]" displayFolder="" count="0" memberValueDatatype="130" unbalanced="0"/>
    <cacheHierarchy uniqueName="[Date].[Mois]" caption="Mois" attribute="1" defaultMemberUniqueName="[Date].[Mois].[All]" allUniqueName="[Date].[Mois].[All]" dimensionUniqueName="[Date]" displayFolder="" count="0" memberValueDatatype="20" unbalanced="0"/>
    <cacheHierarchy uniqueName="[Date].[Nun_Month]" caption="Nun_Month" attribute="1" defaultMemberUniqueName="[Date].[Nun_Month].[All]" allUniqueName="[Date].[Nun_Month].[All]" dimensionUniqueName="[Date]" displayFolder="" count="0" memberValueDatatype="130" unbalanced="0"/>
    <cacheHierarchy uniqueName="[depense].[Date]" caption="Date" attribute="1" time="1" defaultMemberUniqueName="[depense].[Date].[All]" allUniqueName="[depense].[Date].[All]" dimensionUniqueName="[depense]" displayFolder="" count="0" memberValueDatatype="7" unbalanced="0"/>
    <cacheHierarchy uniqueName="[depense].[mois]" caption="mois" attribute="1" defaultMemberUniqueName="[depense].[mois].[All]" allUniqueName="[depense].[mois].[All]" dimensionUniqueName="[depense]" displayFolder="" count="0" memberValueDatatype="20" unbalanced="0"/>
    <cacheHierarchy uniqueName="[depense].[source]" caption="source" attribute="1" defaultMemberUniqueName="[depense].[source].[All]" allUniqueName="[depense].[source].[All]" dimensionUniqueName="[depense]" displayFolder="" count="0" memberValueDatatype="130" unbalanced="0"/>
    <cacheHierarchy uniqueName="[depense].[Caegorie]" caption="Caegorie" attribute="1" defaultMemberUniqueName="[depense].[Caegorie].[All]" allUniqueName="[depense].[Caegorie].[All]" dimensionUniqueName="[depense]" displayFolder="" count="2" memberValueDatatype="130" unbalanced="0">
      <fieldsUsage count="2">
        <fieldUsage x="-1"/>
        <fieldUsage x="3"/>
      </fieldsUsage>
    </cacheHierarchy>
    <cacheHierarchy uniqueName="[depense].[Description]" caption="Description" attribute="1" defaultMemberUniqueName="[depense].[Description].[All]" allUniqueName="[depense].[Description].[All]" dimensionUniqueName="[depense]" displayFolder="" count="0" memberValueDatatype="130" unbalanced="0"/>
    <cacheHierarchy uniqueName="[depense].[montant]" caption="montant" attribute="1" defaultMemberUniqueName="[depense].[montant].[All]" allUniqueName="[depense].[montant].[All]" dimensionUniqueName="[depense]" displayFolder="" count="0" memberValueDatatype="20" unbalanced="0"/>
    <cacheHierarchy uniqueName="[depense].[montant_CFA]" caption="montant_CFA" attribute="1" defaultMemberUniqueName="[depense].[montant_CFA].[All]" allUniqueName="[depense].[montant_CFA].[All]" dimensionUniqueName="[depense]" displayFolder="" count="0" memberValueDatatype="20" unbalanced="0"/>
    <cacheHierarchy uniqueName="[depense].[ID]" caption="ID" attribute="1" defaultMemberUniqueName="[depense].[ID].[All]" allUniqueName="[depense].[ID].[All]" dimensionUniqueName="[depense]" displayFolder="" count="0" memberValueDatatype="20" unbalanced="0"/>
    <cacheHierarchy uniqueName="[dime].[Date]" caption="Date" attribute="1" time="1" defaultMemberUniqueName="[dime].[Date].[All]" allUniqueName="[dime].[Date].[All]" dimensionUniqueName="[dime]" displayFolder="" count="0" memberValueDatatype="7" unbalanced="0"/>
    <cacheHierarchy uniqueName="[dime].[ID_revenue]" caption="ID_revenue" attribute="1" defaultMemberUniqueName="[dime].[ID_revenue].[All]" allUniqueName="[dime].[ID_revenue].[All]" dimensionUniqueName="[dime]" displayFolder="" count="0" memberValueDatatype="20" unbalanced="0"/>
    <cacheHierarchy uniqueName="[dime].[Description]" caption="Description" attribute="1" defaultMemberUniqueName="[dime].[Description].[All]" allUniqueName="[dime].[Description].[All]" dimensionUniqueName="[dime]" displayFolder="" count="0" memberValueDatatype="130" unbalanced="0"/>
    <cacheHierarchy uniqueName="[dime].[source]" caption="source" attribute="1" defaultMemberUniqueName="[dime].[source].[All]" allUniqueName="[dime].[source].[All]" dimensionUniqueName="[dime]" displayFolder="" count="0" memberValueDatatype="130" unbalanced="0"/>
    <cacheHierarchy uniqueName="[dime].[montant]" caption="montant" attribute="1" defaultMemberUniqueName="[dime].[montant].[All]" allUniqueName="[dime].[montant].[All]" dimensionUniqueName="[dime]" displayFolder="" count="0" memberValueDatatype="5" unbalanced="0"/>
    <cacheHierarchy uniqueName="[Epargne].[ID]" caption="ID" attribute="1" defaultMemberUniqueName="[Epargne].[ID].[All]" allUniqueName="[Epargne].[ID].[All]" dimensionUniqueName="[Epargne]" displayFolder="" count="0" memberValueDatatype="20" unbalanced="0"/>
    <cacheHierarchy uniqueName="[Epargne].[date]" caption="date" attribute="1" time="1" defaultMemberUniqueName="[Epargne].[date].[All]" allUniqueName="[Epargne].[date].[All]" dimensionUniqueName="[Epargne]" displayFolder="" count="0" memberValueDatatype="7" unbalanced="0"/>
    <cacheHierarchy uniqueName="[Epargne].[source]" caption="source" attribute="1" defaultMemberUniqueName="[Epargne].[source].[All]" allUniqueName="[Epargne].[source].[All]" dimensionUniqueName="[Epargne]" displayFolder="" count="0" memberValueDatatype="130" unbalanced="0"/>
    <cacheHierarchy uniqueName="[Epargne].[Description]" caption="Description" attribute="1" defaultMemberUniqueName="[Epargne].[Description].[All]" allUniqueName="[Epargne].[Description].[All]" dimensionUniqueName="[Epargne]" displayFolder="" count="0" memberValueDatatype="130" unbalanced="0"/>
    <cacheHierarchy uniqueName="[Epargne].[montant]" caption="montant" attribute="1" defaultMemberUniqueName="[Epargne].[montant].[All]" allUniqueName="[Epargne].[montant].[All]" dimensionUniqueName="[Epargne]" displayFolder="" count="0" memberValueDatatype="5" unbalanced="0"/>
    <cacheHierarchy uniqueName="[Epargne].[montant_CFA]" caption="montant_CFA" attribute="1" defaultMemberUniqueName="[Epargne].[montant_CFA].[All]" allUniqueName="[Epargne].[montant_CFA].[All]" dimensionUniqueName="[Epargne]" displayFolder="" count="0" memberValueDatatype="5" unbalanced="0"/>
    <cacheHierarchy uniqueName="[maison].[Colonne1]" caption="Colonne1" attribute="1" defaultMemberUniqueName="[maison].[Colonne1].[All]" allUniqueName="[maison].[Colonne1].[All]" dimensionUniqueName="[maison]" displayFolder="" count="0" memberValueDatatype="130" unbalanced="0"/>
    <cacheHierarchy uniqueName="[maison].[Colonne2]" caption="Colonne2" attribute="1" defaultMemberUniqueName="[maison].[Colonne2].[All]" allUniqueName="[maison].[Colonne2].[All]" dimensionUniqueName="[maison]" displayFolder="" count="0" memberValueDatatype="20" unbalanced="0"/>
    <cacheHierarchy uniqueName="[maison].[Colonne3]" caption="Colonne3" attribute="1" defaultMemberUniqueName="[maison].[Colonne3].[All]" allUniqueName="[maison].[Colonne3].[All]" dimensionUniqueName="[maison]" displayFolder="" count="0" memberValueDatatype="20" unbalanced="0"/>
    <cacheHierarchy uniqueName="[maison].[Colonne4]" caption="Colonne4" attribute="1" defaultMemberUniqueName="[maison].[Colonne4].[All]" allUniqueName="[maison].[Colonne4].[All]" dimensionUniqueName="[maison]" displayFolder="" count="0" memberValueDatatype="20" unbalanced="0"/>
    <cacheHierarchy uniqueName="[maison].[Colonne5]" caption="Colonne5" attribute="1" defaultMemberUniqueName="[maison].[Colonne5].[All]" allUniqueName="[maison].[Colonne5].[All]" dimensionUniqueName="[maison]" displayFolder="" count="0" memberValueDatatype="20" unbalanced="0"/>
    <cacheHierarchy uniqueName="[maison].[Colonne6]" caption="Colonne6" attribute="1" defaultMemberUniqueName="[maison].[Colonne6].[All]" allUniqueName="[maison].[Colonne6].[All]" dimensionUniqueName="[maison]" displayFolder="" count="0" memberValueDatatype="20" unbalanced="0"/>
    <cacheHierarchy uniqueName="[maison].[Colonne7]" caption="Colonne7" attribute="1" defaultMemberUniqueName="[maison].[Colonne7].[All]" allUniqueName="[maison].[Colonne7].[All]" dimensionUniqueName="[maison]" displayFolder="" count="0" memberValueDatatype="20" unbalanced="0"/>
    <cacheHierarchy uniqueName="[maison].[Colonne8]" caption="Colonne8" attribute="1" defaultMemberUniqueName="[maison].[Colonne8].[All]" allUniqueName="[maison].[Colonne8].[All]" dimensionUniqueName="[maison]" displayFolder="" count="0" memberValueDatatype="20" unbalanced="0"/>
    <cacheHierarchy uniqueName="[maison].[Colonne9]" caption="Colonne9" attribute="1" defaultMemberUniqueName="[maison].[Colonne9].[All]" allUniqueName="[maison].[Colonne9].[All]" dimensionUniqueName="[maison]" displayFolder="" count="0" memberValueDatatype="20" unbalanced="0"/>
    <cacheHierarchy uniqueName="[maison].[Colonne10]" caption="Colonne10" attribute="1" defaultMemberUniqueName="[maison].[Colonne10].[All]" allUniqueName="[maison].[Colonne10].[All]" dimensionUniqueName="[maison]" displayFolder="" count="0" memberValueDatatype="20" unbalanced="0"/>
    <cacheHierarchy uniqueName="[maison].[Colonne11]" caption="Colonne11" attribute="1" defaultMemberUniqueName="[maison].[Colonne11].[All]" allUniqueName="[maison].[Colonne11].[All]" dimensionUniqueName="[maison]" displayFolder="" count="0" memberValueDatatype="20" unbalanced="0"/>
    <cacheHierarchy uniqueName="[maison].[Colonne12]" caption="Colonne12" attribute="1" defaultMemberUniqueName="[maison].[Colonne12].[All]" allUniqueName="[maison].[Colonne12].[All]" dimensionUniqueName="[maison]" displayFolder="" count="0" memberValueDatatype="20" unbalanced="0"/>
    <cacheHierarchy uniqueName="[maison].[Colonne13]" caption="Colonne13" attribute="1" defaultMemberUniqueName="[maison].[Colonne13].[All]" allUniqueName="[maison].[Colonne13].[All]" dimensionUniqueName="[maison]" displayFolder="" count="0" memberValueDatatype="20" unbalanced="0"/>
    <cacheHierarchy uniqueName="[maison].[Colonne14]" caption="Colonne14" attribute="1" defaultMemberUniqueName="[maison].[Colonne14].[All]" allUniqueName="[maison].[Colonne14].[All]" dimensionUniqueName="[maison]" displayFolder="" count="0" memberValueDatatype="20" unbalanced="0"/>
    <cacheHierarchy uniqueName="[nourriture].[Colonne1]" caption="Colonne1" attribute="1" defaultMemberUniqueName="[nourriture].[Colonne1].[All]" allUniqueName="[nourriture].[Colonne1].[All]" dimensionUniqueName="[nourriture]" displayFolder="" count="0" memberValueDatatype="130" unbalanced="0"/>
    <cacheHierarchy uniqueName="[nourriture].[Colonne2]" caption="Colonne2" attribute="1" defaultMemberUniqueName="[nourriture].[Colonne2].[All]" allUniqueName="[nourriture].[Colonne2].[All]" dimensionUniqueName="[nourriture]" displayFolder="" count="0" memberValueDatatype="20" unbalanced="0"/>
    <cacheHierarchy uniqueName="[nourriture].[Colonne3]" caption="Colonne3" attribute="1" defaultMemberUniqueName="[nourriture].[Colonne3].[All]" allUniqueName="[nourriture].[Colonne3].[All]" dimensionUniqueName="[nourriture]" displayFolder="" count="0" memberValueDatatype="20" unbalanced="0"/>
    <cacheHierarchy uniqueName="[nourriture].[Colonne4]" caption="Colonne4" attribute="1" defaultMemberUniqueName="[nourriture].[Colonne4].[All]" allUniqueName="[nourriture].[Colonne4].[All]" dimensionUniqueName="[nourriture]" displayFolder="" count="0" memberValueDatatype="20" unbalanced="0"/>
    <cacheHierarchy uniqueName="[nourriture].[Colonne5]" caption="Colonne5" attribute="1" defaultMemberUniqueName="[nourriture].[Colonne5].[All]" allUniqueName="[nourriture].[Colonne5].[All]" dimensionUniqueName="[nourriture]" displayFolder="" count="0" memberValueDatatype="20" unbalanced="0"/>
    <cacheHierarchy uniqueName="[nourriture].[Colonne6]" caption="Colonne6" attribute="1" defaultMemberUniqueName="[nourriture].[Colonne6].[All]" allUniqueName="[nourriture].[Colonne6].[All]" dimensionUniqueName="[nourriture]" displayFolder="" count="0" memberValueDatatype="20" unbalanced="0"/>
    <cacheHierarchy uniqueName="[nourriture].[Colonne7]" caption="Colonne7" attribute="1" defaultMemberUniqueName="[nourriture].[Colonne7].[All]" allUniqueName="[nourriture].[Colonne7].[All]" dimensionUniqueName="[nourriture]" displayFolder="" count="0" memberValueDatatype="20" unbalanced="0"/>
    <cacheHierarchy uniqueName="[nourriture].[Colonne8]" caption="Colonne8" attribute="1" defaultMemberUniqueName="[nourriture].[Colonne8].[All]" allUniqueName="[nourriture].[Colonne8].[All]" dimensionUniqueName="[nourriture]" displayFolder="" count="0" memberValueDatatype="20" unbalanced="0"/>
    <cacheHierarchy uniqueName="[nourriture].[Colonne9]" caption="Colonne9" attribute="1" defaultMemberUniqueName="[nourriture].[Colonne9].[All]" allUniqueName="[nourriture].[Colonne9].[All]" dimensionUniqueName="[nourriture]" displayFolder="" count="0" memberValueDatatype="20" unbalanced="0"/>
    <cacheHierarchy uniqueName="[nourriture].[Colonne10]" caption="Colonne10" attribute="1" defaultMemberUniqueName="[nourriture].[Colonne10].[All]" allUniqueName="[nourriture].[Colonne10].[All]" dimensionUniqueName="[nourriture]" displayFolder="" count="0" memberValueDatatype="20" unbalanced="0"/>
    <cacheHierarchy uniqueName="[nourriture].[Colonne11]" caption="Colonne11" attribute="1" defaultMemberUniqueName="[nourriture].[Colonne11].[All]" allUniqueName="[nourriture].[Colonne11].[All]" dimensionUniqueName="[nourriture]" displayFolder="" count="0" memberValueDatatype="20" unbalanced="0"/>
    <cacheHierarchy uniqueName="[nourriture].[Colonne12]" caption="Colonne12" attribute="1" defaultMemberUniqueName="[nourriture].[Colonne12].[All]" allUniqueName="[nourriture].[Colonne12].[All]" dimensionUniqueName="[nourriture]" displayFolder="" count="0" memberValueDatatype="20" unbalanced="0"/>
    <cacheHierarchy uniqueName="[nourriture].[Colonne13]" caption="Colonne13" attribute="1" defaultMemberUniqueName="[nourriture].[Colonne13].[All]" allUniqueName="[nourriture].[Colonne13].[All]" dimensionUniqueName="[nourriture]" displayFolder="" count="0" memberValueDatatype="20" unbalanced="0"/>
    <cacheHierarchy uniqueName="[nourriture].[Colonne14]" caption="Colonne14" attribute="1" defaultMemberUniqueName="[nourriture].[Colonne14].[All]" allUniqueName="[nourriture].[Colonne14].[All]" dimensionUniqueName="[nourriture]" displayFolder="" count="0" memberValueDatatype="20" unbalanced="0"/>
    <cacheHierarchy uniqueName="[revenue].[Elements]" caption="Elements" attribute="1" defaultMemberUniqueName="[revenue].[Elements].[All]" allUniqueName="[revenue].[Elements].[All]" dimensionUniqueName="[revenue]" displayFolder="" count="0" memberValueDatatype="130" unbalanced="0"/>
    <cacheHierarchy uniqueName="[revenue].[Janv.]" caption="Janv." attribute="1" defaultMemberUniqueName="[revenue].[Janv.].[All]" allUniqueName="[revenue].[Janv.].[All]" dimensionUniqueName="[revenue]" displayFolder="" count="0" memberValueDatatype="20" unbalanced="0"/>
    <cacheHierarchy uniqueName="[revenue].[Fev.]" caption="Fev." attribute="1" defaultMemberUniqueName="[revenue].[Fev.].[All]" allUniqueName="[revenue].[Fev.].[All]" dimensionUniqueName="[revenue]" displayFolder="" count="0" memberValueDatatype="20" unbalanced="0"/>
    <cacheHierarchy uniqueName="[revenue].[Mars.]" caption="Mars." attribute="1" defaultMemberUniqueName="[revenue].[Mars.].[All]" allUniqueName="[revenue].[Mars.].[All]" dimensionUniqueName="[revenue]" displayFolder="" count="0" memberValueDatatype="20" unbalanced="0"/>
    <cacheHierarchy uniqueName="[revenue].[Avril]" caption="Avril" attribute="1" defaultMemberUniqueName="[revenue].[Avril].[All]" allUniqueName="[revenue].[Avril].[All]" dimensionUniqueName="[revenue]" displayFolder="" count="0" memberValueDatatype="20" unbalanced="0"/>
    <cacheHierarchy uniqueName="[revenue].[Mai]" caption="Mai" attribute="1" defaultMemberUniqueName="[revenue].[Mai].[All]" allUniqueName="[revenue].[Mai].[All]" dimensionUniqueName="[revenue]" displayFolder="" count="0" memberValueDatatype="20" unbalanced="0"/>
    <cacheHierarchy uniqueName="[revenue].[Juin]" caption="Juin" attribute="1" defaultMemberUniqueName="[revenue].[Juin].[All]" allUniqueName="[revenue].[Juin].[All]" dimensionUniqueName="[revenue]" displayFolder="" count="0" memberValueDatatype="20" unbalanced="0"/>
    <cacheHierarchy uniqueName="[revenue].[Juillet]" caption="Juillet" attribute="1" defaultMemberUniqueName="[revenue].[Juillet].[All]" allUniqueName="[revenue].[Juillet].[All]" dimensionUniqueName="[revenue]" displayFolder="" count="0" memberValueDatatype="20" unbalanced="0"/>
    <cacheHierarchy uniqueName="[revenue].[Aout]" caption="Aout" attribute="1" defaultMemberUniqueName="[revenue].[Aout].[All]" allUniqueName="[revenue].[Aout].[All]" dimensionUniqueName="[revenue]" displayFolder="" count="0" memberValueDatatype="20" unbalanced="0"/>
    <cacheHierarchy uniqueName="[revenue].[Sept.]" caption="Sept." attribute="1" defaultMemberUniqueName="[revenue].[Sept.].[All]" allUniqueName="[revenue].[Sept.].[All]" dimensionUniqueName="[revenue]" displayFolder="" count="0" memberValueDatatype="20" unbalanced="0"/>
    <cacheHierarchy uniqueName="[revenue].[Oct.]" caption="Oct." attribute="1" defaultMemberUniqueName="[revenue].[Oct.].[All]" allUniqueName="[revenue].[Oct.].[All]" dimensionUniqueName="[revenue]" displayFolder="" count="0" memberValueDatatype="20" unbalanced="0"/>
    <cacheHierarchy uniqueName="[revenue].[Nov.]" caption="Nov." attribute="1" defaultMemberUniqueName="[revenue].[Nov.].[All]" allUniqueName="[revenue].[Nov.].[All]" dimensionUniqueName="[revenue]" displayFolder="" count="0" memberValueDatatype="20" unbalanced="0"/>
    <cacheHierarchy uniqueName="[revenue].[Dec]" caption="Dec" attribute="1" defaultMemberUniqueName="[revenue].[Dec].[All]" allUniqueName="[revenue].[Dec].[All]" dimensionUniqueName="[revenue]" displayFolder="" count="0" memberValueDatatype="20" unbalanced="0"/>
    <cacheHierarchy uniqueName="[revenue].[Year to Date]" caption="Year to Date" attribute="1" defaultMemberUniqueName="[revenue].[Year to Date].[All]" allUniqueName="[revenue].[Year to Date].[All]" dimensionUniqueName="[revenue]" displayFolder="" count="0" memberValueDatatype="20" unbalanced="0"/>
    <cacheHierarchy uniqueName="[revenuXYZ].[Date]" caption="Date" attribute="1" time="1" defaultMemberUniqueName="[revenuXYZ].[Date].[All]" allUniqueName="[revenuXYZ].[Date].[All]" dimensionUniqueName="[revenuXYZ]" displayFolder="" count="0" memberValueDatatype="7" unbalanced="0"/>
    <cacheHierarchy uniqueName="[revenuXYZ].[mois]" caption="mois" attribute="1" defaultMemberUniqueName="[revenuXYZ].[mois].[All]" allUniqueName="[revenuXYZ].[mois].[All]" dimensionUniqueName="[revenuXYZ]" displayFolder="" count="0" memberValueDatatype="20" unbalanced="0"/>
    <cacheHierarchy uniqueName="[revenuXYZ].[categorie]" caption="categorie" attribute="1" defaultMemberUniqueName="[revenuXYZ].[categorie].[All]" allUniqueName="[revenuXYZ].[categorie].[All]" dimensionUniqueName="[revenuXYZ]" displayFolder="" count="2" memberValueDatatype="130" unbalanced="0">
      <fieldsUsage count="2">
        <fieldUsage x="-1"/>
        <fieldUsage x="4"/>
      </fieldsUsage>
    </cacheHierarchy>
    <cacheHierarchy uniqueName="[revenuXYZ].[Description]" caption="Description" attribute="1" defaultMemberUniqueName="[revenuXYZ].[Description].[All]" allUniqueName="[revenuXYZ].[Description].[All]" dimensionUniqueName="[revenuXYZ]" displayFolder="" count="0" memberValueDatatype="130" unbalanced="0"/>
    <cacheHierarchy uniqueName="[revenuXYZ].[montant]" caption="montant" attribute="1" defaultMemberUniqueName="[revenuXYZ].[montant].[All]" allUniqueName="[revenuXYZ].[montant].[All]" dimensionUniqueName="[revenuXYZ]" displayFolder="" count="0" memberValueDatatype="20" unbalanced="0"/>
    <cacheHierarchy uniqueName="[revenuXYZ].[montant_CFA]" caption="montant_CFA" attribute="1" defaultMemberUniqueName="[revenuXYZ].[montant_CFA].[All]" allUniqueName="[revenuXYZ].[montant_CFA].[All]" dimensionUniqueName="[revenuXYZ]" displayFolder="" count="0" memberValueDatatype="5" unbalanced="0"/>
    <cacheHierarchy uniqueName="[revenuXYZ].[source]" caption="source" attribute="1" defaultMemberUniqueName="[revenuXYZ].[source].[All]" allUniqueName="[revenuXYZ].[source].[All]" dimensionUniqueName="[revenuXYZ]" displayFolder="" count="0" memberValueDatatype="130" unbalanced="0"/>
    <cacheHierarchy uniqueName="[revenuXYZ].[ID]" caption="ID" attribute="1" defaultMemberUniqueName="[revenuXYZ].[ID].[All]" allUniqueName="[revenuXYZ].[ID].[All]" dimensionUniqueName="[revenuXYZ]" displayFolder="" count="0" memberValueDatatype="20" unbalanced="0"/>
    <cacheHierarchy uniqueName="[transport].[Colonne1]" caption="Colonne1" attribute="1" defaultMemberUniqueName="[transport].[Colonne1].[All]" allUniqueName="[transport].[Colonne1].[All]" dimensionUniqueName="[transport]" displayFolder="" count="0" memberValueDatatype="130" unbalanced="0"/>
    <cacheHierarchy uniqueName="[transport].[Colonne2]" caption="Colonne2" attribute="1" defaultMemberUniqueName="[transport].[Colonne2].[All]" allUniqueName="[transport].[Colonne2].[All]" dimensionUniqueName="[transport]" displayFolder="" count="0" memberValueDatatype="20" unbalanced="0"/>
    <cacheHierarchy uniqueName="[transport].[Colonne3]" caption="Colonne3" attribute="1" defaultMemberUniqueName="[transport].[Colonne3].[All]" allUniqueName="[transport].[Colonne3].[All]" dimensionUniqueName="[transport]" displayFolder="" count="0" memberValueDatatype="20" unbalanced="0"/>
    <cacheHierarchy uniqueName="[transport].[Colonne4]" caption="Colonne4" attribute="1" defaultMemberUniqueName="[transport].[Colonne4].[All]" allUniqueName="[transport].[Colonne4].[All]" dimensionUniqueName="[transport]" displayFolder="" count="0" memberValueDatatype="20" unbalanced="0"/>
    <cacheHierarchy uniqueName="[transport].[Colonne5]" caption="Colonne5" attribute="1" defaultMemberUniqueName="[transport].[Colonne5].[All]" allUniqueName="[transport].[Colonne5].[All]" dimensionUniqueName="[transport]" displayFolder="" count="0" memberValueDatatype="20" unbalanced="0"/>
    <cacheHierarchy uniqueName="[transport].[Colonne6]" caption="Colonne6" attribute="1" defaultMemberUniqueName="[transport].[Colonne6].[All]" allUniqueName="[transport].[Colonne6].[All]" dimensionUniqueName="[transport]" displayFolder="" count="0" memberValueDatatype="20" unbalanced="0"/>
    <cacheHierarchy uniqueName="[transport].[Colonne7]" caption="Colonne7" attribute="1" defaultMemberUniqueName="[transport].[Colonne7].[All]" allUniqueName="[transport].[Colonne7].[All]" dimensionUniqueName="[transport]" displayFolder="" count="0" memberValueDatatype="20" unbalanced="0"/>
    <cacheHierarchy uniqueName="[transport].[Colonne8]" caption="Colonne8" attribute="1" defaultMemberUniqueName="[transport].[Colonne8].[All]" allUniqueName="[transport].[Colonne8].[All]" dimensionUniqueName="[transport]" displayFolder="" count="0" memberValueDatatype="20" unbalanced="0"/>
    <cacheHierarchy uniqueName="[transport].[Colonne9]" caption="Colonne9" attribute="1" defaultMemberUniqueName="[transport].[Colonne9].[All]" allUniqueName="[transport].[Colonne9].[All]" dimensionUniqueName="[transport]" displayFolder="" count="0" memberValueDatatype="20" unbalanced="0"/>
    <cacheHierarchy uniqueName="[transport].[Colonne10]" caption="Colonne10" attribute="1" defaultMemberUniqueName="[transport].[Colonne10].[All]" allUniqueName="[transport].[Colonne10].[All]" dimensionUniqueName="[transport]" displayFolder="" count="0" memberValueDatatype="20" unbalanced="0"/>
    <cacheHierarchy uniqueName="[transport].[Colonne11]" caption="Colonne11" attribute="1" defaultMemberUniqueName="[transport].[Colonne11].[All]" allUniqueName="[transport].[Colonne11].[All]" dimensionUniqueName="[transport]" displayFolder="" count="0" memberValueDatatype="20" unbalanced="0"/>
    <cacheHierarchy uniqueName="[transport].[Colonne12]" caption="Colonne12" attribute="1" defaultMemberUniqueName="[transport].[Colonne12].[All]" allUniqueName="[transport].[Colonne12].[All]" dimensionUniqueName="[transport]" displayFolder="" count="0" memberValueDatatype="20" unbalanced="0"/>
    <cacheHierarchy uniqueName="[transport].[Colonne13]" caption="Colonne13" attribute="1" defaultMemberUniqueName="[transport].[Colonne13].[All]" allUniqueName="[transport].[Colonne13].[All]" dimensionUniqueName="[transport]" displayFolder="" count="0" memberValueDatatype="20" unbalanced="0"/>
    <cacheHierarchy uniqueName="[transport].[Colonne14]" caption="Colonne14" attribute="1" defaultMemberUniqueName="[transport].[Colonne14].[All]" allUniqueName="[transport].[Colonne14].[All]" dimensionUniqueName="[transport]" displayFolder="" count="0" memberValueDatatype="20" unbalanced="0"/>
    <cacheHierarchy uniqueName="[Date].[Date (Month Index)]" caption="Date (Month Index)" attribute="1" defaultMemberUniqueName="[Date].[Date (Month Index)].[All]" allUniqueName="[Date].[Date (Month Index)].[All]" dimensionUniqueName="[Date]" displayFolder="" count="0" memberValueDatatype="20" unbalanced="0" hidden="1"/>
    <cacheHierarchy uniqueName="[Measures].[Sum of montant]" caption="Sum of montant" measure="1" displayFolder="" measureGroup="revenuXYZ" count="0">
      <extLst>
        <ext xmlns:x15="http://schemas.microsoft.com/office/spreadsheetml/2010/11/main" uri="{B97F6D7D-B522-45F9-BDA1-12C45D357490}">
          <x15:cacheHierarchy aggregatedColumn="72"/>
        </ext>
      </extLst>
    </cacheHierarchy>
    <cacheHierarchy uniqueName="[Measures].[Sum of montant 2]" caption="Sum of montant 2" measure="1" displayFolder="" measureGroup="depense" count="0">
      <extLst>
        <ext xmlns:x15="http://schemas.microsoft.com/office/spreadsheetml/2010/11/main" uri="{B97F6D7D-B522-45F9-BDA1-12C45D357490}">
          <x15:cacheHierarchy aggregatedColumn="12"/>
        </ext>
      </extLst>
    </cacheHierarchy>
    <cacheHierarchy uniqueName="[Measures].[Average of montant]" caption="Average of montant" measure="1" displayFolder="" measureGroup="depense" count="0" oneField="1">
      <fieldsUsage count="1">
        <fieldUsage x="0"/>
      </fieldsUsage>
      <extLst>
        <ext xmlns:x15="http://schemas.microsoft.com/office/spreadsheetml/2010/11/main" uri="{B97F6D7D-B522-45F9-BDA1-12C45D357490}">
          <x15:cacheHierarchy aggregatedColumn="12"/>
        </ext>
      </extLst>
    </cacheHierarchy>
    <cacheHierarchy uniqueName="[Measures].[reste]" caption="reste" measure="1" displayFolder="" measureGroup="revenue" count="0"/>
    <cacheHierarchy uniqueName="[Measures].[TotalRevenue]" caption="TotalRevenue" measure="1" displayFolder="" measureGroup="revenuXYZ" count="0"/>
    <cacheHierarchy uniqueName="[Measures].[TotalDepense]" caption="TotalDepense" measure="1" displayFolder="" measureGroup="depense" count="0"/>
    <cacheHierarchy uniqueName="[Measures].[TotalReste]" caption="TotalReste" measure="1" displayFolder="" measureGroup="depense" count="0"/>
    <cacheHierarchy uniqueName="[Measures].[10% du Revenu]" caption="10% du Revenu" measure="1" displayFolder="" measureGroup="revenue" count="0"/>
    <cacheHierarchy uniqueName="[Measures].[20% du Revenu]" caption="20% du Revenu" measure="1" displayFolder="" measureGroup="revenue" count="0"/>
    <cacheHierarchy uniqueName="[Measures].[Epargne]" caption="Epargne" measure="1" displayFolder="" measureGroup="revenue" count="0"/>
    <cacheHierarchy uniqueName="[Measures].[Reste Depensable]" caption="Reste Depensable" measure="1" displayFolder="" measureGroup="revenuXYZ" count="0"/>
    <cacheHierarchy uniqueName="[Measures].[dime]" caption="dime" measure="1" displayFolder="" measureGroup="revenuXYZ" count="0"/>
    <cacheHierarchy uniqueName="[Measures].[__XL_Count revenue]" caption="__XL_Count revenue" measure="1" displayFolder="" measureGroup="revenue" count="0" hidden="1"/>
    <cacheHierarchy uniqueName="[Measures].[__XL_Count maison]" caption="__XL_Count maison" measure="1" displayFolder="" measureGroup="maison" count="0" hidden="1"/>
    <cacheHierarchy uniqueName="[Measures].[__XL_Count nourriture]" caption="__XL_Count nourriture" measure="1" displayFolder="" measureGroup="nourriture" count="0" hidden="1"/>
    <cacheHierarchy uniqueName="[Measures].[__XL_Count transport]" caption="__XL_Count transport" measure="1" displayFolder="" measureGroup="transport" count="0" hidden="1"/>
    <cacheHierarchy uniqueName="[Measures].[__XL_Count revenuXYZ]" caption="__XL_Count revenuXYZ" measure="1" displayFolder="" measureGroup="revenuXYZ" count="0" hidden="1"/>
    <cacheHierarchy uniqueName="[Measures].[__XL_Count depense]" caption="__XL_Count depense" measure="1" displayFolder="" measureGroup="depense" count="0" hidden="1"/>
    <cacheHierarchy uniqueName="[Measures].[__XL_Count Table14]" caption="__XL_Count Table14" measure="1" displayFolder="" measureGroup="Date" count="0" hidden="1"/>
    <cacheHierarchy uniqueName="[Measures].[__XL_Count Epargne]" caption="__XL_Count Epargne" measure="1" displayFolder="" measureGroup="Epargne" count="0" hidden="1"/>
    <cacheHierarchy uniqueName="[Measures].[__XL_Count dime]" caption="__XL_Count dime" measure="1" displayFolder="" measureGroup="dime" count="0" hidden="1"/>
    <cacheHierarchy uniqueName="[Measures].[__No measures defined]" caption="__No measures defined" measure="1" displayFolder="" count="0" hidden="1"/>
  </cacheHierarchies>
  <kpis count="0"/>
  <dimensions count="10">
    <dimension name="Date" uniqueName="[Date]" caption="Date"/>
    <dimension name="depense" uniqueName="[depense]" caption="depense"/>
    <dimension name="dime" uniqueName="[dime]" caption="dime"/>
    <dimension name="Epargne" uniqueName="[Epargne]" caption="Epargne"/>
    <dimension name="maison" uniqueName="[maison]" caption="maison"/>
    <dimension measure="1" name="Measures" uniqueName="[Measures]" caption="Measures"/>
    <dimension name="nourriture" uniqueName="[nourriture]" caption="nourriture"/>
    <dimension name="revenue" uniqueName="[revenue]" caption="revenue"/>
    <dimension name="revenuXYZ" uniqueName="[revenuXYZ]" caption="revenuXYZ"/>
    <dimension name="transport" uniqueName="[transport]" caption="transport"/>
  </dimensions>
  <measureGroups count="9">
    <measureGroup name="Date" caption="Date"/>
    <measureGroup name="depense" caption="depense"/>
    <measureGroup name="dime" caption="dime"/>
    <measureGroup name="Epargne" caption="Epargne"/>
    <measureGroup name="maison" caption="maison"/>
    <measureGroup name="nourriture" caption="nourriture"/>
    <measureGroup name="revenue" caption="revenue"/>
    <measureGroup name="revenuXYZ" caption="revenuXYZ"/>
    <measureGroup name="transport" caption="transport"/>
  </measureGroups>
  <maps count="13">
    <map measureGroup="0" dimension="0"/>
    <map measureGroup="1" dimension="0"/>
    <map measureGroup="1" dimension="1"/>
    <map measureGroup="2" dimension="0"/>
    <map measureGroup="2" dimension="2"/>
    <map measureGroup="3" dimension="0"/>
    <map measureGroup="3" dimension="3"/>
    <map measureGroup="4" dimension="4"/>
    <map measureGroup="5" dimension="6"/>
    <map measureGroup="6" dimension="7"/>
    <map measureGroup="7" dimension="0"/>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504.703332638892" backgroundQuery="1" createdVersion="8" refreshedVersion="8" minRefreshableVersion="3" recordCount="0" supportSubquery="1" supportAdvancedDrill="1" xr:uid="{3BAB92D6-2E22-4232-950D-616BE8CFC890}">
  <cacheSource type="external" connectionId="1"/>
  <cacheFields count="5">
    <cacheField name="[Date].[Date (Month)].[Date (Month)]" caption="Date (Month)" numFmtId="0" hierarchy="3" level="1">
      <sharedItems count="12">
        <s v="juil"/>
        <s v="janv" u="1"/>
        <s v="févr" u="1"/>
        <s v="mars" u="1"/>
        <s v="avr" u="1"/>
        <s v="mai" u="1"/>
        <s v="juin" u="1"/>
        <s v="août" u="1"/>
        <s v="sept" u="1"/>
        <s v="oct" u="1"/>
        <s v="nov" u="1"/>
        <s v="déc" u="1"/>
      </sharedItems>
    </cacheField>
    <cacheField name="[Measures].[TotalRevenue]" caption="TotalRevenue" numFmtId="0" hierarchy="95" level="32767"/>
    <cacheField name="[Date].[Date (Year)].[Date (Year)]" caption="Date (Year)" numFmtId="0" hierarchy="1" level="1">
      <sharedItems containsSemiMixedTypes="0" containsNonDate="0" containsString="0"/>
    </cacheField>
    <cacheField name="[depense].[Caegorie].[Caegorie]" caption="Caegorie" numFmtId="0" hierarchy="10" level="1">
      <sharedItems containsSemiMixedTypes="0" containsNonDate="0" containsString="0"/>
    </cacheField>
    <cacheField name="[revenuXYZ].[categorie].[categorie]" caption="categorie" numFmtId="0" hierarchy="70" level="1">
      <sharedItems containsSemiMixedTypes="0" containsNonDate="0" containsString="0"/>
    </cacheField>
  </cacheFields>
  <cacheHierarchies count="113">
    <cacheHierarchy uniqueName="[Date].[Date]" caption="Date" attribute="1" time="1" defaultMemberUniqueName="[Date].[Date].[All]" allUniqueName="[Date].[Date].[All]" dimensionUniqueName="[Date]" displayFolder="" count="0" memberValueDatatype="7" unbalanced="0"/>
    <cacheHierarchy uniqueName="[Date].[Date (Year)]" caption="Date (Year)" attribute="1" defaultMemberUniqueName="[Date].[Date (Year)].[All]" allUniqueName="[Date].[Date (Year)].[All]" dimensionUniqueName="[Date]" displayFolder="" count="2" memberValueDatatype="130" unbalanced="0">
      <fieldsUsage count="2">
        <fieldUsage x="-1"/>
        <fieldUsage x="2"/>
      </fieldsUsage>
    </cacheHierarchy>
    <cacheHierarchy uniqueName="[Date].[Date (Quarter)]" caption="Date (Quarter)" attribute="1" defaultMemberUniqueName="[Date].[Date (Quarter)].[All]" allUniqueName="[Date].[Date (Quarter)].[All]" dimensionUniqueName="[Date]" displayFolder="" count="0" memberValueDatatype="130" unbalanced="0"/>
    <cacheHierarchy uniqueName="[Date].[Date (Month)]" caption="Date (Month)" attribute="1" defaultMemberUniqueName="[Date].[Date (Month)].[All]" allUniqueName="[Date].[Date (Month)].[All]" dimensionUniqueName="[Date]" displayFolder="" count="2" memberValueDatatype="130" unbalanced="0">
      <fieldsUsage count="2">
        <fieldUsage x="-1"/>
        <fieldUsage x="0"/>
      </fieldsUsage>
    </cacheHierarchy>
    <cacheHierarchy uniqueName="[Date].[week]" caption="week" attribute="1" defaultMemberUniqueName="[Date].[week].[All]" allUniqueName="[Date].[week].[All]" dimensionUniqueName="[Date]" displayFolder="" count="0" memberValueDatatype="130" unbalanced="0"/>
    <cacheHierarchy uniqueName="[Date].[Mois]" caption="Mois" attribute="1" defaultMemberUniqueName="[Date].[Mois].[All]" allUniqueName="[Date].[Mois].[All]" dimensionUniqueName="[Date]" displayFolder="" count="0" memberValueDatatype="20" unbalanced="0"/>
    <cacheHierarchy uniqueName="[Date].[Nun_Month]" caption="Nun_Month" attribute="1" defaultMemberUniqueName="[Date].[Nun_Month].[All]" allUniqueName="[Date].[Nun_Month].[All]" dimensionUniqueName="[Date]" displayFolder="" count="0" memberValueDatatype="130" unbalanced="0"/>
    <cacheHierarchy uniqueName="[depense].[Date]" caption="Date" attribute="1" time="1" defaultMemberUniqueName="[depense].[Date].[All]" allUniqueName="[depense].[Date].[All]" dimensionUniqueName="[depense]" displayFolder="" count="0" memberValueDatatype="7" unbalanced="0"/>
    <cacheHierarchy uniqueName="[depense].[mois]" caption="mois" attribute="1" defaultMemberUniqueName="[depense].[mois].[All]" allUniqueName="[depense].[mois].[All]" dimensionUniqueName="[depense]" displayFolder="" count="0" memberValueDatatype="20" unbalanced="0"/>
    <cacheHierarchy uniqueName="[depense].[source]" caption="source" attribute="1" defaultMemberUniqueName="[depense].[source].[All]" allUniqueName="[depense].[source].[All]" dimensionUniqueName="[depense]" displayFolder="" count="0" memberValueDatatype="130" unbalanced="0"/>
    <cacheHierarchy uniqueName="[depense].[Caegorie]" caption="Caegorie" attribute="1" defaultMemberUniqueName="[depense].[Caegorie].[All]" allUniqueName="[depense].[Caegorie].[All]" dimensionUniqueName="[depense]" displayFolder="" count="2" memberValueDatatype="130" unbalanced="0">
      <fieldsUsage count="2">
        <fieldUsage x="-1"/>
        <fieldUsage x="3"/>
      </fieldsUsage>
    </cacheHierarchy>
    <cacheHierarchy uniqueName="[depense].[Description]" caption="Description" attribute="1" defaultMemberUniqueName="[depense].[Description].[All]" allUniqueName="[depense].[Description].[All]" dimensionUniqueName="[depense]" displayFolder="" count="0" memberValueDatatype="130" unbalanced="0"/>
    <cacheHierarchy uniqueName="[depense].[montant]" caption="montant" attribute="1" defaultMemberUniqueName="[depense].[montant].[All]" allUniqueName="[depense].[montant].[All]" dimensionUniqueName="[depense]" displayFolder="" count="0" memberValueDatatype="20" unbalanced="0"/>
    <cacheHierarchy uniqueName="[depense].[montant_CFA]" caption="montant_CFA" attribute="1" defaultMemberUniqueName="[depense].[montant_CFA].[All]" allUniqueName="[depense].[montant_CFA].[All]" dimensionUniqueName="[depense]" displayFolder="" count="0" memberValueDatatype="20" unbalanced="0"/>
    <cacheHierarchy uniqueName="[depense].[ID]" caption="ID" attribute="1" defaultMemberUniqueName="[depense].[ID].[All]" allUniqueName="[depense].[ID].[All]" dimensionUniqueName="[depense]" displayFolder="" count="0" memberValueDatatype="20" unbalanced="0"/>
    <cacheHierarchy uniqueName="[dime].[Date]" caption="Date" attribute="1" time="1" defaultMemberUniqueName="[dime].[Date].[All]" allUniqueName="[dime].[Date].[All]" dimensionUniqueName="[dime]" displayFolder="" count="0" memberValueDatatype="7" unbalanced="0"/>
    <cacheHierarchy uniqueName="[dime].[ID_revenue]" caption="ID_revenue" attribute="1" defaultMemberUniqueName="[dime].[ID_revenue].[All]" allUniqueName="[dime].[ID_revenue].[All]" dimensionUniqueName="[dime]" displayFolder="" count="0" memberValueDatatype="20" unbalanced="0"/>
    <cacheHierarchy uniqueName="[dime].[Description]" caption="Description" attribute="1" defaultMemberUniqueName="[dime].[Description].[All]" allUniqueName="[dime].[Description].[All]" dimensionUniqueName="[dime]" displayFolder="" count="0" memberValueDatatype="130" unbalanced="0"/>
    <cacheHierarchy uniqueName="[dime].[source]" caption="source" attribute="1" defaultMemberUniqueName="[dime].[source].[All]" allUniqueName="[dime].[source].[All]" dimensionUniqueName="[dime]" displayFolder="" count="0" memberValueDatatype="130" unbalanced="0"/>
    <cacheHierarchy uniqueName="[dime].[montant]" caption="montant" attribute="1" defaultMemberUniqueName="[dime].[montant].[All]" allUniqueName="[dime].[montant].[All]" dimensionUniqueName="[dime]" displayFolder="" count="0" memberValueDatatype="5" unbalanced="0"/>
    <cacheHierarchy uniqueName="[Epargne].[ID]" caption="ID" attribute="1" defaultMemberUniqueName="[Epargne].[ID].[All]" allUniqueName="[Epargne].[ID].[All]" dimensionUniqueName="[Epargne]" displayFolder="" count="0" memberValueDatatype="20" unbalanced="0"/>
    <cacheHierarchy uniqueName="[Epargne].[date]" caption="date" attribute="1" time="1" defaultMemberUniqueName="[Epargne].[date].[All]" allUniqueName="[Epargne].[date].[All]" dimensionUniqueName="[Epargne]" displayFolder="" count="0" memberValueDatatype="7" unbalanced="0"/>
    <cacheHierarchy uniqueName="[Epargne].[source]" caption="source" attribute="1" defaultMemberUniqueName="[Epargne].[source].[All]" allUniqueName="[Epargne].[source].[All]" dimensionUniqueName="[Epargne]" displayFolder="" count="0" memberValueDatatype="130" unbalanced="0"/>
    <cacheHierarchy uniqueName="[Epargne].[Description]" caption="Description" attribute="1" defaultMemberUniqueName="[Epargne].[Description].[All]" allUniqueName="[Epargne].[Description].[All]" dimensionUniqueName="[Epargne]" displayFolder="" count="0" memberValueDatatype="130" unbalanced="0"/>
    <cacheHierarchy uniqueName="[Epargne].[montant]" caption="montant" attribute="1" defaultMemberUniqueName="[Epargne].[montant].[All]" allUniqueName="[Epargne].[montant].[All]" dimensionUniqueName="[Epargne]" displayFolder="" count="0" memberValueDatatype="5" unbalanced="0"/>
    <cacheHierarchy uniqueName="[Epargne].[montant_CFA]" caption="montant_CFA" attribute="1" defaultMemberUniqueName="[Epargne].[montant_CFA].[All]" allUniqueName="[Epargne].[montant_CFA].[All]" dimensionUniqueName="[Epargne]" displayFolder="" count="0" memberValueDatatype="5" unbalanced="0"/>
    <cacheHierarchy uniqueName="[maison].[Colonne1]" caption="Colonne1" attribute="1" defaultMemberUniqueName="[maison].[Colonne1].[All]" allUniqueName="[maison].[Colonne1].[All]" dimensionUniqueName="[maison]" displayFolder="" count="0" memberValueDatatype="130" unbalanced="0"/>
    <cacheHierarchy uniqueName="[maison].[Colonne2]" caption="Colonne2" attribute="1" defaultMemberUniqueName="[maison].[Colonne2].[All]" allUniqueName="[maison].[Colonne2].[All]" dimensionUniqueName="[maison]" displayFolder="" count="0" memberValueDatatype="20" unbalanced="0"/>
    <cacheHierarchy uniqueName="[maison].[Colonne3]" caption="Colonne3" attribute="1" defaultMemberUniqueName="[maison].[Colonne3].[All]" allUniqueName="[maison].[Colonne3].[All]" dimensionUniqueName="[maison]" displayFolder="" count="0" memberValueDatatype="20" unbalanced="0"/>
    <cacheHierarchy uniqueName="[maison].[Colonne4]" caption="Colonne4" attribute="1" defaultMemberUniqueName="[maison].[Colonne4].[All]" allUniqueName="[maison].[Colonne4].[All]" dimensionUniqueName="[maison]" displayFolder="" count="0" memberValueDatatype="20" unbalanced="0"/>
    <cacheHierarchy uniqueName="[maison].[Colonne5]" caption="Colonne5" attribute="1" defaultMemberUniqueName="[maison].[Colonne5].[All]" allUniqueName="[maison].[Colonne5].[All]" dimensionUniqueName="[maison]" displayFolder="" count="0" memberValueDatatype="20" unbalanced="0"/>
    <cacheHierarchy uniqueName="[maison].[Colonne6]" caption="Colonne6" attribute="1" defaultMemberUniqueName="[maison].[Colonne6].[All]" allUniqueName="[maison].[Colonne6].[All]" dimensionUniqueName="[maison]" displayFolder="" count="0" memberValueDatatype="20" unbalanced="0"/>
    <cacheHierarchy uniqueName="[maison].[Colonne7]" caption="Colonne7" attribute="1" defaultMemberUniqueName="[maison].[Colonne7].[All]" allUniqueName="[maison].[Colonne7].[All]" dimensionUniqueName="[maison]" displayFolder="" count="0" memberValueDatatype="20" unbalanced="0"/>
    <cacheHierarchy uniqueName="[maison].[Colonne8]" caption="Colonne8" attribute="1" defaultMemberUniqueName="[maison].[Colonne8].[All]" allUniqueName="[maison].[Colonne8].[All]" dimensionUniqueName="[maison]" displayFolder="" count="0" memberValueDatatype="20" unbalanced="0"/>
    <cacheHierarchy uniqueName="[maison].[Colonne9]" caption="Colonne9" attribute="1" defaultMemberUniqueName="[maison].[Colonne9].[All]" allUniqueName="[maison].[Colonne9].[All]" dimensionUniqueName="[maison]" displayFolder="" count="0" memberValueDatatype="20" unbalanced="0"/>
    <cacheHierarchy uniqueName="[maison].[Colonne10]" caption="Colonne10" attribute="1" defaultMemberUniqueName="[maison].[Colonne10].[All]" allUniqueName="[maison].[Colonne10].[All]" dimensionUniqueName="[maison]" displayFolder="" count="0" memberValueDatatype="20" unbalanced="0"/>
    <cacheHierarchy uniqueName="[maison].[Colonne11]" caption="Colonne11" attribute="1" defaultMemberUniqueName="[maison].[Colonne11].[All]" allUniqueName="[maison].[Colonne11].[All]" dimensionUniqueName="[maison]" displayFolder="" count="0" memberValueDatatype="20" unbalanced="0"/>
    <cacheHierarchy uniqueName="[maison].[Colonne12]" caption="Colonne12" attribute="1" defaultMemberUniqueName="[maison].[Colonne12].[All]" allUniqueName="[maison].[Colonne12].[All]" dimensionUniqueName="[maison]" displayFolder="" count="0" memberValueDatatype="20" unbalanced="0"/>
    <cacheHierarchy uniqueName="[maison].[Colonne13]" caption="Colonne13" attribute="1" defaultMemberUniqueName="[maison].[Colonne13].[All]" allUniqueName="[maison].[Colonne13].[All]" dimensionUniqueName="[maison]" displayFolder="" count="0" memberValueDatatype="20" unbalanced="0"/>
    <cacheHierarchy uniqueName="[maison].[Colonne14]" caption="Colonne14" attribute="1" defaultMemberUniqueName="[maison].[Colonne14].[All]" allUniqueName="[maison].[Colonne14].[All]" dimensionUniqueName="[maison]" displayFolder="" count="0" memberValueDatatype="20" unbalanced="0"/>
    <cacheHierarchy uniqueName="[nourriture].[Colonne1]" caption="Colonne1" attribute="1" defaultMemberUniqueName="[nourriture].[Colonne1].[All]" allUniqueName="[nourriture].[Colonne1].[All]" dimensionUniqueName="[nourriture]" displayFolder="" count="0" memberValueDatatype="130" unbalanced="0"/>
    <cacheHierarchy uniqueName="[nourriture].[Colonne2]" caption="Colonne2" attribute="1" defaultMemberUniqueName="[nourriture].[Colonne2].[All]" allUniqueName="[nourriture].[Colonne2].[All]" dimensionUniqueName="[nourriture]" displayFolder="" count="0" memberValueDatatype="20" unbalanced="0"/>
    <cacheHierarchy uniqueName="[nourriture].[Colonne3]" caption="Colonne3" attribute="1" defaultMemberUniqueName="[nourriture].[Colonne3].[All]" allUniqueName="[nourriture].[Colonne3].[All]" dimensionUniqueName="[nourriture]" displayFolder="" count="0" memberValueDatatype="20" unbalanced="0"/>
    <cacheHierarchy uniqueName="[nourriture].[Colonne4]" caption="Colonne4" attribute="1" defaultMemberUniqueName="[nourriture].[Colonne4].[All]" allUniqueName="[nourriture].[Colonne4].[All]" dimensionUniqueName="[nourriture]" displayFolder="" count="0" memberValueDatatype="20" unbalanced="0"/>
    <cacheHierarchy uniqueName="[nourriture].[Colonne5]" caption="Colonne5" attribute="1" defaultMemberUniqueName="[nourriture].[Colonne5].[All]" allUniqueName="[nourriture].[Colonne5].[All]" dimensionUniqueName="[nourriture]" displayFolder="" count="0" memberValueDatatype="20" unbalanced="0"/>
    <cacheHierarchy uniqueName="[nourriture].[Colonne6]" caption="Colonne6" attribute="1" defaultMemberUniqueName="[nourriture].[Colonne6].[All]" allUniqueName="[nourriture].[Colonne6].[All]" dimensionUniqueName="[nourriture]" displayFolder="" count="0" memberValueDatatype="20" unbalanced="0"/>
    <cacheHierarchy uniqueName="[nourriture].[Colonne7]" caption="Colonne7" attribute="1" defaultMemberUniqueName="[nourriture].[Colonne7].[All]" allUniqueName="[nourriture].[Colonne7].[All]" dimensionUniqueName="[nourriture]" displayFolder="" count="0" memberValueDatatype="20" unbalanced="0"/>
    <cacheHierarchy uniqueName="[nourriture].[Colonne8]" caption="Colonne8" attribute="1" defaultMemberUniqueName="[nourriture].[Colonne8].[All]" allUniqueName="[nourriture].[Colonne8].[All]" dimensionUniqueName="[nourriture]" displayFolder="" count="0" memberValueDatatype="20" unbalanced="0"/>
    <cacheHierarchy uniqueName="[nourriture].[Colonne9]" caption="Colonne9" attribute="1" defaultMemberUniqueName="[nourriture].[Colonne9].[All]" allUniqueName="[nourriture].[Colonne9].[All]" dimensionUniqueName="[nourriture]" displayFolder="" count="0" memberValueDatatype="20" unbalanced="0"/>
    <cacheHierarchy uniqueName="[nourriture].[Colonne10]" caption="Colonne10" attribute="1" defaultMemberUniqueName="[nourriture].[Colonne10].[All]" allUniqueName="[nourriture].[Colonne10].[All]" dimensionUniqueName="[nourriture]" displayFolder="" count="0" memberValueDatatype="20" unbalanced="0"/>
    <cacheHierarchy uniqueName="[nourriture].[Colonne11]" caption="Colonne11" attribute="1" defaultMemberUniqueName="[nourriture].[Colonne11].[All]" allUniqueName="[nourriture].[Colonne11].[All]" dimensionUniqueName="[nourriture]" displayFolder="" count="0" memberValueDatatype="20" unbalanced="0"/>
    <cacheHierarchy uniqueName="[nourriture].[Colonne12]" caption="Colonne12" attribute="1" defaultMemberUniqueName="[nourriture].[Colonne12].[All]" allUniqueName="[nourriture].[Colonne12].[All]" dimensionUniqueName="[nourriture]" displayFolder="" count="0" memberValueDatatype="20" unbalanced="0"/>
    <cacheHierarchy uniqueName="[nourriture].[Colonne13]" caption="Colonne13" attribute="1" defaultMemberUniqueName="[nourriture].[Colonne13].[All]" allUniqueName="[nourriture].[Colonne13].[All]" dimensionUniqueName="[nourriture]" displayFolder="" count="0" memberValueDatatype="20" unbalanced="0"/>
    <cacheHierarchy uniqueName="[nourriture].[Colonne14]" caption="Colonne14" attribute="1" defaultMemberUniqueName="[nourriture].[Colonne14].[All]" allUniqueName="[nourriture].[Colonne14].[All]" dimensionUniqueName="[nourriture]" displayFolder="" count="0" memberValueDatatype="20" unbalanced="0"/>
    <cacheHierarchy uniqueName="[revenue].[Elements]" caption="Elements" attribute="1" defaultMemberUniqueName="[revenue].[Elements].[All]" allUniqueName="[revenue].[Elements].[All]" dimensionUniqueName="[revenue]" displayFolder="" count="0" memberValueDatatype="130" unbalanced="0"/>
    <cacheHierarchy uniqueName="[revenue].[Janv.]" caption="Janv." attribute="1" defaultMemberUniqueName="[revenue].[Janv.].[All]" allUniqueName="[revenue].[Janv.].[All]" dimensionUniqueName="[revenue]" displayFolder="" count="0" memberValueDatatype="20" unbalanced="0"/>
    <cacheHierarchy uniqueName="[revenue].[Fev.]" caption="Fev." attribute="1" defaultMemberUniqueName="[revenue].[Fev.].[All]" allUniqueName="[revenue].[Fev.].[All]" dimensionUniqueName="[revenue]" displayFolder="" count="0" memberValueDatatype="20" unbalanced="0"/>
    <cacheHierarchy uniqueName="[revenue].[Mars.]" caption="Mars." attribute="1" defaultMemberUniqueName="[revenue].[Mars.].[All]" allUniqueName="[revenue].[Mars.].[All]" dimensionUniqueName="[revenue]" displayFolder="" count="0" memberValueDatatype="20" unbalanced="0"/>
    <cacheHierarchy uniqueName="[revenue].[Avril]" caption="Avril" attribute="1" defaultMemberUniqueName="[revenue].[Avril].[All]" allUniqueName="[revenue].[Avril].[All]" dimensionUniqueName="[revenue]" displayFolder="" count="0" memberValueDatatype="20" unbalanced="0"/>
    <cacheHierarchy uniqueName="[revenue].[Mai]" caption="Mai" attribute="1" defaultMemberUniqueName="[revenue].[Mai].[All]" allUniqueName="[revenue].[Mai].[All]" dimensionUniqueName="[revenue]" displayFolder="" count="0" memberValueDatatype="20" unbalanced="0"/>
    <cacheHierarchy uniqueName="[revenue].[Juin]" caption="Juin" attribute="1" defaultMemberUniqueName="[revenue].[Juin].[All]" allUniqueName="[revenue].[Juin].[All]" dimensionUniqueName="[revenue]" displayFolder="" count="0" memberValueDatatype="20" unbalanced="0"/>
    <cacheHierarchy uniqueName="[revenue].[Juillet]" caption="Juillet" attribute="1" defaultMemberUniqueName="[revenue].[Juillet].[All]" allUniqueName="[revenue].[Juillet].[All]" dimensionUniqueName="[revenue]" displayFolder="" count="0" memberValueDatatype="20" unbalanced="0"/>
    <cacheHierarchy uniqueName="[revenue].[Aout]" caption="Aout" attribute="1" defaultMemberUniqueName="[revenue].[Aout].[All]" allUniqueName="[revenue].[Aout].[All]" dimensionUniqueName="[revenue]" displayFolder="" count="0" memberValueDatatype="20" unbalanced="0"/>
    <cacheHierarchy uniqueName="[revenue].[Sept.]" caption="Sept." attribute="1" defaultMemberUniqueName="[revenue].[Sept.].[All]" allUniqueName="[revenue].[Sept.].[All]" dimensionUniqueName="[revenue]" displayFolder="" count="0" memberValueDatatype="20" unbalanced="0"/>
    <cacheHierarchy uniqueName="[revenue].[Oct.]" caption="Oct." attribute="1" defaultMemberUniqueName="[revenue].[Oct.].[All]" allUniqueName="[revenue].[Oct.].[All]" dimensionUniqueName="[revenue]" displayFolder="" count="0" memberValueDatatype="20" unbalanced="0"/>
    <cacheHierarchy uniqueName="[revenue].[Nov.]" caption="Nov." attribute="1" defaultMemberUniqueName="[revenue].[Nov.].[All]" allUniqueName="[revenue].[Nov.].[All]" dimensionUniqueName="[revenue]" displayFolder="" count="0" memberValueDatatype="20" unbalanced="0"/>
    <cacheHierarchy uniqueName="[revenue].[Dec]" caption="Dec" attribute="1" defaultMemberUniqueName="[revenue].[Dec].[All]" allUniqueName="[revenue].[Dec].[All]" dimensionUniqueName="[revenue]" displayFolder="" count="0" memberValueDatatype="20" unbalanced="0"/>
    <cacheHierarchy uniqueName="[revenue].[Year to Date]" caption="Year to Date" attribute="1" defaultMemberUniqueName="[revenue].[Year to Date].[All]" allUniqueName="[revenue].[Year to Date].[All]" dimensionUniqueName="[revenue]" displayFolder="" count="0" memberValueDatatype="20" unbalanced="0"/>
    <cacheHierarchy uniqueName="[revenuXYZ].[Date]" caption="Date" attribute="1" time="1" defaultMemberUniqueName="[revenuXYZ].[Date].[All]" allUniqueName="[revenuXYZ].[Date].[All]" dimensionUniqueName="[revenuXYZ]" displayFolder="" count="0" memberValueDatatype="7" unbalanced="0"/>
    <cacheHierarchy uniqueName="[revenuXYZ].[mois]" caption="mois" attribute="1" defaultMemberUniqueName="[revenuXYZ].[mois].[All]" allUniqueName="[revenuXYZ].[mois].[All]" dimensionUniqueName="[revenuXYZ]" displayFolder="" count="0" memberValueDatatype="20" unbalanced="0"/>
    <cacheHierarchy uniqueName="[revenuXYZ].[categorie]" caption="categorie" attribute="1" defaultMemberUniqueName="[revenuXYZ].[categorie].[All]" allUniqueName="[revenuXYZ].[categorie].[All]" dimensionUniqueName="[revenuXYZ]" displayFolder="" count="2" memberValueDatatype="130" unbalanced="0">
      <fieldsUsage count="2">
        <fieldUsage x="-1"/>
        <fieldUsage x="4"/>
      </fieldsUsage>
    </cacheHierarchy>
    <cacheHierarchy uniqueName="[revenuXYZ].[Description]" caption="Description" attribute="1" defaultMemberUniqueName="[revenuXYZ].[Description].[All]" allUniqueName="[revenuXYZ].[Description].[All]" dimensionUniqueName="[revenuXYZ]" displayFolder="" count="0" memberValueDatatype="130" unbalanced="0"/>
    <cacheHierarchy uniqueName="[revenuXYZ].[montant]" caption="montant" attribute="1" defaultMemberUniqueName="[revenuXYZ].[montant].[All]" allUniqueName="[revenuXYZ].[montant].[All]" dimensionUniqueName="[revenuXYZ]" displayFolder="" count="0" memberValueDatatype="20" unbalanced="0"/>
    <cacheHierarchy uniqueName="[revenuXYZ].[montant_CFA]" caption="montant_CFA" attribute="1" defaultMemberUniqueName="[revenuXYZ].[montant_CFA].[All]" allUniqueName="[revenuXYZ].[montant_CFA].[All]" dimensionUniqueName="[revenuXYZ]" displayFolder="" count="0" memberValueDatatype="5" unbalanced="0"/>
    <cacheHierarchy uniqueName="[revenuXYZ].[source]" caption="source" attribute="1" defaultMemberUniqueName="[revenuXYZ].[source].[All]" allUniqueName="[revenuXYZ].[source].[All]" dimensionUniqueName="[revenuXYZ]" displayFolder="" count="0" memberValueDatatype="130" unbalanced="0"/>
    <cacheHierarchy uniqueName="[revenuXYZ].[ID]" caption="ID" attribute="1" defaultMemberUniqueName="[revenuXYZ].[ID].[All]" allUniqueName="[revenuXYZ].[ID].[All]" dimensionUniqueName="[revenuXYZ]" displayFolder="" count="0" memberValueDatatype="20" unbalanced="0"/>
    <cacheHierarchy uniqueName="[transport].[Colonne1]" caption="Colonne1" attribute="1" defaultMemberUniqueName="[transport].[Colonne1].[All]" allUniqueName="[transport].[Colonne1].[All]" dimensionUniqueName="[transport]" displayFolder="" count="0" memberValueDatatype="130" unbalanced="0"/>
    <cacheHierarchy uniqueName="[transport].[Colonne2]" caption="Colonne2" attribute="1" defaultMemberUniqueName="[transport].[Colonne2].[All]" allUniqueName="[transport].[Colonne2].[All]" dimensionUniqueName="[transport]" displayFolder="" count="0" memberValueDatatype="20" unbalanced="0"/>
    <cacheHierarchy uniqueName="[transport].[Colonne3]" caption="Colonne3" attribute="1" defaultMemberUniqueName="[transport].[Colonne3].[All]" allUniqueName="[transport].[Colonne3].[All]" dimensionUniqueName="[transport]" displayFolder="" count="0" memberValueDatatype="20" unbalanced="0"/>
    <cacheHierarchy uniqueName="[transport].[Colonne4]" caption="Colonne4" attribute="1" defaultMemberUniqueName="[transport].[Colonne4].[All]" allUniqueName="[transport].[Colonne4].[All]" dimensionUniqueName="[transport]" displayFolder="" count="0" memberValueDatatype="20" unbalanced="0"/>
    <cacheHierarchy uniqueName="[transport].[Colonne5]" caption="Colonne5" attribute="1" defaultMemberUniqueName="[transport].[Colonne5].[All]" allUniqueName="[transport].[Colonne5].[All]" dimensionUniqueName="[transport]" displayFolder="" count="0" memberValueDatatype="20" unbalanced="0"/>
    <cacheHierarchy uniqueName="[transport].[Colonne6]" caption="Colonne6" attribute="1" defaultMemberUniqueName="[transport].[Colonne6].[All]" allUniqueName="[transport].[Colonne6].[All]" dimensionUniqueName="[transport]" displayFolder="" count="0" memberValueDatatype="20" unbalanced="0"/>
    <cacheHierarchy uniqueName="[transport].[Colonne7]" caption="Colonne7" attribute="1" defaultMemberUniqueName="[transport].[Colonne7].[All]" allUniqueName="[transport].[Colonne7].[All]" dimensionUniqueName="[transport]" displayFolder="" count="0" memberValueDatatype="20" unbalanced="0"/>
    <cacheHierarchy uniqueName="[transport].[Colonne8]" caption="Colonne8" attribute="1" defaultMemberUniqueName="[transport].[Colonne8].[All]" allUniqueName="[transport].[Colonne8].[All]" dimensionUniqueName="[transport]" displayFolder="" count="0" memberValueDatatype="20" unbalanced="0"/>
    <cacheHierarchy uniqueName="[transport].[Colonne9]" caption="Colonne9" attribute="1" defaultMemberUniqueName="[transport].[Colonne9].[All]" allUniqueName="[transport].[Colonne9].[All]" dimensionUniqueName="[transport]" displayFolder="" count="0" memberValueDatatype="20" unbalanced="0"/>
    <cacheHierarchy uniqueName="[transport].[Colonne10]" caption="Colonne10" attribute="1" defaultMemberUniqueName="[transport].[Colonne10].[All]" allUniqueName="[transport].[Colonne10].[All]" dimensionUniqueName="[transport]" displayFolder="" count="0" memberValueDatatype="20" unbalanced="0"/>
    <cacheHierarchy uniqueName="[transport].[Colonne11]" caption="Colonne11" attribute="1" defaultMemberUniqueName="[transport].[Colonne11].[All]" allUniqueName="[transport].[Colonne11].[All]" dimensionUniqueName="[transport]" displayFolder="" count="0" memberValueDatatype="20" unbalanced="0"/>
    <cacheHierarchy uniqueName="[transport].[Colonne12]" caption="Colonne12" attribute="1" defaultMemberUniqueName="[transport].[Colonne12].[All]" allUniqueName="[transport].[Colonne12].[All]" dimensionUniqueName="[transport]" displayFolder="" count="0" memberValueDatatype="20" unbalanced="0"/>
    <cacheHierarchy uniqueName="[transport].[Colonne13]" caption="Colonne13" attribute="1" defaultMemberUniqueName="[transport].[Colonne13].[All]" allUniqueName="[transport].[Colonne13].[All]" dimensionUniqueName="[transport]" displayFolder="" count="0" memberValueDatatype="20" unbalanced="0"/>
    <cacheHierarchy uniqueName="[transport].[Colonne14]" caption="Colonne14" attribute="1" defaultMemberUniqueName="[transport].[Colonne14].[All]" allUniqueName="[transport].[Colonne14].[All]" dimensionUniqueName="[transport]" displayFolder="" count="0" memberValueDatatype="20" unbalanced="0"/>
    <cacheHierarchy uniqueName="[Date].[Date (Month Index)]" caption="Date (Month Index)" attribute="1" defaultMemberUniqueName="[Date].[Date (Month Index)].[All]" allUniqueName="[Date].[Date (Month Index)].[All]" dimensionUniqueName="[Date]" displayFolder="" count="0" memberValueDatatype="20" unbalanced="0" hidden="1"/>
    <cacheHierarchy uniqueName="[Measures].[Sum of montant]" caption="Sum of montant" measure="1" displayFolder="" measureGroup="revenuXYZ" count="0">
      <extLst>
        <ext xmlns:x15="http://schemas.microsoft.com/office/spreadsheetml/2010/11/main" uri="{B97F6D7D-B522-45F9-BDA1-12C45D357490}">
          <x15:cacheHierarchy aggregatedColumn="72"/>
        </ext>
      </extLst>
    </cacheHierarchy>
    <cacheHierarchy uniqueName="[Measures].[Sum of montant 2]" caption="Sum of montant 2" measure="1" displayFolder="" measureGroup="depense" count="0">
      <extLst>
        <ext xmlns:x15="http://schemas.microsoft.com/office/spreadsheetml/2010/11/main" uri="{B97F6D7D-B522-45F9-BDA1-12C45D357490}">
          <x15:cacheHierarchy aggregatedColumn="12"/>
        </ext>
      </extLst>
    </cacheHierarchy>
    <cacheHierarchy uniqueName="[Measures].[Average of montant]" caption="Average of montant" measure="1" displayFolder="" measureGroup="depense" count="0">
      <extLst>
        <ext xmlns:x15="http://schemas.microsoft.com/office/spreadsheetml/2010/11/main" uri="{B97F6D7D-B522-45F9-BDA1-12C45D357490}">
          <x15:cacheHierarchy aggregatedColumn="12"/>
        </ext>
      </extLst>
    </cacheHierarchy>
    <cacheHierarchy uniqueName="[Measures].[reste]" caption="reste" measure="1" displayFolder="" measureGroup="revenue" count="0"/>
    <cacheHierarchy uniqueName="[Measures].[TotalRevenue]" caption="TotalRevenue" measure="1" displayFolder="" measureGroup="revenuXYZ" count="0" oneField="1">
      <fieldsUsage count="1">
        <fieldUsage x="1"/>
      </fieldsUsage>
    </cacheHierarchy>
    <cacheHierarchy uniqueName="[Measures].[TotalDepense]" caption="TotalDepense" measure="1" displayFolder="" measureGroup="depense" count="0"/>
    <cacheHierarchy uniqueName="[Measures].[TotalReste]" caption="TotalReste" measure="1" displayFolder="" measureGroup="depense" count="0"/>
    <cacheHierarchy uniqueName="[Measures].[10% du Revenu]" caption="10% du Revenu" measure="1" displayFolder="" measureGroup="revenue" count="0"/>
    <cacheHierarchy uniqueName="[Measures].[20% du Revenu]" caption="20% du Revenu" measure="1" displayFolder="" measureGroup="revenue" count="0"/>
    <cacheHierarchy uniqueName="[Measures].[Epargne]" caption="Epargne" measure="1" displayFolder="" measureGroup="revenue" count="0"/>
    <cacheHierarchy uniqueName="[Measures].[Reste Depensable]" caption="Reste Depensable" measure="1" displayFolder="" measureGroup="revenuXYZ" count="0"/>
    <cacheHierarchy uniqueName="[Measures].[dime]" caption="dime" measure="1" displayFolder="" measureGroup="revenuXYZ" count="0"/>
    <cacheHierarchy uniqueName="[Measures].[__XL_Count revenue]" caption="__XL_Count revenue" measure="1" displayFolder="" measureGroup="revenue" count="0" hidden="1"/>
    <cacheHierarchy uniqueName="[Measures].[__XL_Count maison]" caption="__XL_Count maison" measure="1" displayFolder="" measureGroup="maison" count="0" hidden="1"/>
    <cacheHierarchy uniqueName="[Measures].[__XL_Count nourriture]" caption="__XL_Count nourriture" measure="1" displayFolder="" measureGroup="nourriture" count="0" hidden="1"/>
    <cacheHierarchy uniqueName="[Measures].[__XL_Count transport]" caption="__XL_Count transport" measure="1" displayFolder="" measureGroup="transport" count="0" hidden="1"/>
    <cacheHierarchy uniqueName="[Measures].[__XL_Count revenuXYZ]" caption="__XL_Count revenuXYZ" measure="1" displayFolder="" measureGroup="revenuXYZ" count="0" hidden="1"/>
    <cacheHierarchy uniqueName="[Measures].[__XL_Count depense]" caption="__XL_Count depense" measure="1" displayFolder="" measureGroup="depense" count="0" hidden="1"/>
    <cacheHierarchy uniqueName="[Measures].[__XL_Count Table14]" caption="__XL_Count Table14" measure="1" displayFolder="" measureGroup="Date" count="0" hidden="1"/>
    <cacheHierarchy uniqueName="[Measures].[__XL_Count Epargne]" caption="__XL_Count Epargne" measure="1" displayFolder="" measureGroup="Epargne" count="0" hidden="1"/>
    <cacheHierarchy uniqueName="[Measures].[__XL_Count dime]" caption="__XL_Count dime" measure="1" displayFolder="" measureGroup="dime" count="0" hidden="1"/>
    <cacheHierarchy uniqueName="[Measures].[__No measures defined]" caption="__No measures defined" measure="1" displayFolder="" count="0" hidden="1"/>
  </cacheHierarchies>
  <kpis count="0"/>
  <dimensions count="10">
    <dimension name="Date" uniqueName="[Date]" caption="Date"/>
    <dimension name="depense" uniqueName="[depense]" caption="depense"/>
    <dimension name="dime" uniqueName="[dime]" caption="dime"/>
    <dimension name="Epargne" uniqueName="[Epargne]" caption="Epargne"/>
    <dimension name="maison" uniqueName="[maison]" caption="maison"/>
    <dimension measure="1" name="Measures" uniqueName="[Measures]" caption="Measures"/>
    <dimension name="nourriture" uniqueName="[nourriture]" caption="nourriture"/>
    <dimension name="revenue" uniqueName="[revenue]" caption="revenue"/>
    <dimension name="revenuXYZ" uniqueName="[revenuXYZ]" caption="revenuXYZ"/>
    <dimension name="transport" uniqueName="[transport]" caption="transport"/>
  </dimensions>
  <measureGroups count="9">
    <measureGroup name="Date" caption="Date"/>
    <measureGroup name="depense" caption="depense"/>
    <measureGroup name="dime" caption="dime"/>
    <measureGroup name="Epargne" caption="Epargne"/>
    <measureGroup name="maison" caption="maison"/>
    <measureGroup name="nourriture" caption="nourriture"/>
    <measureGroup name="revenue" caption="revenue"/>
    <measureGroup name="revenuXYZ" caption="revenuXYZ"/>
    <measureGroup name="transport" caption="transport"/>
  </measureGroups>
  <maps count="13">
    <map measureGroup="0" dimension="0"/>
    <map measureGroup="1" dimension="0"/>
    <map measureGroup="1" dimension="1"/>
    <map measureGroup="2" dimension="0"/>
    <map measureGroup="2" dimension="2"/>
    <map measureGroup="3" dimension="0"/>
    <map measureGroup="3" dimension="3"/>
    <map measureGroup="4" dimension="4"/>
    <map measureGroup="5" dimension="6"/>
    <map measureGroup="6" dimension="7"/>
    <map measureGroup="7" dimension="0"/>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504.703334143516" backgroundQuery="1" createdVersion="8" refreshedVersion="8" minRefreshableVersion="3" recordCount="0" supportSubquery="1" supportAdvancedDrill="1" xr:uid="{8AD95976-A8D5-4B3C-B73D-12EAACFD0CD1}">
  <cacheSource type="external" connectionId="1"/>
  <cacheFields count="7">
    <cacheField name="[Measures].[TotalDepense]" caption="TotalDepense" numFmtId="0" hierarchy="96" level="32767"/>
    <cacheField name="[Measures].[TotalReste]" caption="TotalReste" numFmtId="0" hierarchy="97" level="32767"/>
    <cacheField name="[Date].[Date (Month)].[Date (Month)]" caption="Date (Month)" numFmtId="0" hierarchy="3" level="1">
      <sharedItems count="1">
        <s v="juil"/>
      </sharedItems>
    </cacheField>
    <cacheField name="[Date].[Date (Year)].[Date (Year)]" caption="Date (Year)" numFmtId="0" hierarchy="1" level="1">
      <sharedItems containsSemiMixedTypes="0" containsNonDate="0" containsString="0"/>
    </cacheField>
    <cacheField name="[Date].[week].[week]" caption="week" numFmtId="0" hierarchy="4" level="1">
      <sharedItems count="4">
        <s v="W 27"/>
        <s v="W 28"/>
        <s v="W 29"/>
        <s v="W 30"/>
      </sharedItems>
    </cacheField>
    <cacheField name="[depense].[Caegorie].[Caegorie]" caption="Caegorie" numFmtId="0" hierarchy="10" level="1">
      <sharedItems containsSemiMixedTypes="0" containsNonDate="0" containsString="0"/>
    </cacheField>
    <cacheField name="[revenuXYZ].[categorie].[categorie]" caption="categorie" numFmtId="0" hierarchy="70" level="1">
      <sharedItems containsSemiMixedTypes="0" containsNonDate="0" containsString="0"/>
    </cacheField>
  </cacheFields>
  <cacheHierarchies count="113">
    <cacheHierarchy uniqueName="[Date].[Date]" caption="Date" attribute="1" time="1" defaultMemberUniqueName="[Date].[Date].[All]" allUniqueName="[Date].[Date].[All]" dimensionUniqueName="[Date]" displayFolder="" count="0" memberValueDatatype="7" unbalanced="0"/>
    <cacheHierarchy uniqueName="[Date].[Date (Year)]" caption="Date (Year)" attribute="1" defaultMemberUniqueName="[Date].[Date (Year)].[All]" allUniqueName="[Date].[Date (Year)].[All]" dimensionUniqueName="[Date]" displayFolder="" count="2" memberValueDatatype="130" unbalanced="0">
      <fieldsUsage count="2">
        <fieldUsage x="-1"/>
        <fieldUsage x="3"/>
      </fieldsUsage>
    </cacheHierarchy>
    <cacheHierarchy uniqueName="[Date].[Date (Quarter)]" caption="Date (Quarter)" attribute="1" defaultMemberUniqueName="[Date].[Date (Quarter)].[All]" allUniqueName="[Date].[Date (Quarter)].[All]" dimensionUniqueName="[Date]" displayFolder="" count="0" memberValueDatatype="130" unbalanced="0"/>
    <cacheHierarchy uniqueName="[Date].[Date (Month)]" caption="Date (Month)" attribute="1" defaultMemberUniqueName="[Date].[Date (Month)].[All]" allUniqueName="[Date].[Date (Month)].[All]" dimensionUniqueName="[Date]" displayFolder="" count="2" memberValueDatatype="130" unbalanced="0">
      <fieldsUsage count="2">
        <fieldUsage x="-1"/>
        <fieldUsage x="2"/>
      </fieldsUsage>
    </cacheHierarchy>
    <cacheHierarchy uniqueName="[Date].[week]" caption="week" attribute="1" defaultMemberUniqueName="[Date].[week].[All]" allUniqueName="[Date].[week].[All]" dimensionUniqueName="[Date]" displayFolder="" count="2" memberValueDatatype="130" unbalanced="0">
      <fieldsUsage count="2">
        <fieldUsage x="-1"/>
        <fieldUsage x="4"/>
      </fieldsUsage>
    </cacheHierarchy>
    <cacheHierarchy uniqueName="[Date].[Mois]" caption="Mois" attribute="1" defaultMemberUniqueName="[Date].[Mois].[All]" allUniqueName="[Date].[Mois].[All]" dimensionUniqueName="[Date]" displayFolder="" count="0" memberValueDatatype="20" unbalanced="0"/>
    <cacheHierarchy uniqueName="[Date].[Nun_Month]" caption="Nun_Month" attribute="1" defaultMemberUniqueName="[Date].[Nun_Month].[All]" allUniqueName="[Date].[Nun_Month].[All]" dimensionUniqueName="[Date]" displayFolder="" count="0" memberValueDatatype="130" unbalanced="0"/>
    <cacheHierarchy uniqueName="[depense].[Date]" caption="Date" attribute="1" time="1" defaultMemberUniqueName="[depense].[Date].[All]" allUniqueName="[depense].[Date].[All]" dimensionUniqueName="[depense]" displayFolder="" count="0" memberValueDatatype="7" unbalanced="0"/>
    <cacheHierarchy uniqueName="[depense].[mois]" caption="mois" attribute="1" defaultMemberUniqueName="[depense].[mois].[All]" allUniqueName="[depense].[mois].[All]" dimensionUniqueName="[depense]" displayFolder="" count="0" memberValueDatatype="20" unbalanced="0"/>
    <cacheHierarchy uniqueName="[depense].[source]" caption="source" attribute="1" defaultMemberUniqueName="[depense].[source].[All]" allUniqueName="[depense].[source].[All]" dimensionUniqueName="[depense]" displayFolder="" count="0" memberValueDatatype="130" unbalanced="0"/>
    <cacheHierarchy uniqueName="[depense].[Caegorie]" caption="Caegorie" attribute="1" defaultMemberUniqueName="[depense].[Caegorie].[All]" allUniqueName="[depense].[Caegorie].[All]" dimensionUniqueName="[depense]" displayFolder="" count="2" memberValueDatatype="130" unbalanced="0">
      <fieldsUsage count="2">
        <fieldUsage x="-1"/>
        <fieldUsage x="5"/>
      </fieldsUsage>
    </cacheHierarchy>
    <cacheHierarchy uniqueName="[depense].[Description]" caption="Description" attribute="1" defaultMemberUniqueName="[depense].[Description].[All]" allUniqueName="[depense].[Description].[All]" dimensionUniqueName="[depense]" displayFolder="" count="0" memberValueDatatype="130" unbalanced="0"/>
    <cacheHierarchy uniqueName="[depense].[montant]" caption="montant" attribute="1" defaultMemberUniqueName="[depense].[montant].[All]" allUniqueName="[depense].[montant].[All]" dimensionUniqueName="[depense]" displayFolder="" count="0" memberValueDatatype="20" unbalanced="0"/>
    <cacheHierarchy uniqueName="[depense].[montant_CFA]" caption="montant_CFA" attribute="1" defaultMemberUniqueName="[depense].[montant_CFA].[All]" allUniqueName="[depense].[montant_CFA].[All]" dimensionUniqueName="[depense]" displayFolder="" count="0" memberValueDatatype="20" unbalanced="0"/>
    <cacheHierarchy uniqueName="[depense].[ID]" caption="ID" attribute="1" defaultMemberUniqueName="[depense].[ID].[All]" allUniqueName="[depense].[ID].[All]" dimensionUniqueName="[depense]" displayFolder="" count="0" memberValueDatatype="20" unbalanced="0"/>
    <cacheHierarchy uniqueName="[dime].[Date]" caption="Date" attribute="1" time="1" defaultMemberUniqueName="[dime].[Date].[All]" allUniqueName="[dime].[Date].[All]" dimensionUniqueName="[dime]" displayFolder="" count="0" memberValueDatatype="7" unbalanced="0"/>
    <cacheHierarchy uniqueName="[dime].[ID_revenue]" caption="ID_revenue" attribute="1" defaultMemberUniqueName="[dime].[ID_revenue].[All]" allUniqueName="[dime].[ID_revenue].[All]" dimensionUniqueName="[dime]" displayFolder="" count="0" memberValueDatatype="20" unbalanced="0"/>
    <cacheHierarchy uniqueName="[dime].[Description]" caption="Description" attribute="1" defaultMemberUniqueName="[dime].[Description].[All]" allUniqueName="[dime].[Description].[All]" dimensionUniqueName="[dime]" displayFolder="" count="0" memberValueDatatype="130" unbalanced="0"/>
    <cacheHierarchy uniqueName="[dime].[source]" caption="source" attribute="1" defaultMemberUniqueName="[dime].[source].[All]" allUniqueName="[dime].[source].[All]" dimensionUniqueName="[dime]" displayFolder="" count="0" memberValueDatatype="130" unbalanced="0"/>
    <cacheHierarchy uniqueName="[dime].[montant]" caption="montant" attribute="1" defaultMemberUniqueName="[dime].[montant].[All]" allUniqueName="[dime].[montant].[All]" dimensionUniqueName="[dime]" displayFolder="" count="0" memberValueDatatype="5" unbalanced="0"/>
    <cacheHierarchy uniqueName="[Epargne].[ID]" caption="ID" attribute="1" defaultMemberUniqueName="[Epargne].[ID].[All]" allUniqueName="[Epargne].[ID].[All]" dimensionUniqueName="[Epargne]" displayFolder="" count="0" memberValueDatatype="20" unbalanced="0"/>
    <cacheHierarchy uniqueName="[Epargne].[date]" caption="date" attribute="1" time="1" defaultMemberUniqueName="[Epargne].[date].[All]" allUniqueName="[Epargne].[date].[All]" dimensionUniqueName="[Epargne]" displayFolder="" count="0" memberValueDatatype="7" unbalanced="0"/>
    <cacheHierarchy uniqueName="[Epargne].[source]" caption="source" attribute="1" defaultMemberUniqueName="[Epargne].[source].[All]" allUniqueName="[Epargne].[source].[All]" dimensionUniqueName="[Epargne]" displayFolder="" count="0" memberValueDatatype="130" unbalanced="0"/>
    <cacheHierarchy uniqueName="[Epargne].[Description]" caption="Description" attribute="1" defaultMemberUniqueName="[Epargne].[Description].[All]" allUniqueName="[Epargne].[Description].[All]" dimensionUniqueName="[Epargne]" displayFolder="" count="0" memberValueDatatype="130" unbalanced="0"/>
    <cacheHierarchy uniqueName="[Epargne].[montant]" caption="montant" attribute="1" defaultMemberUniqueName="[Epargne].[montant].[All]" allUniqueName="[Epargne].[montant].[All]" dimensionUniqueName="[Epargne]" displayFolder="" count="0" memberValueDatatype="5" unbalanced="0"/>
    <cacheHierarchy uniqueName="[Epargne].[montant_CFA]" caption="montant_CFA" attribute="1" defaultMemberUniqueName="[Epargne].[montant_CFA].[All]" allUniqueName="[Epargne].[montant_CFA].[All]" dimensionUniqueName="[Epargne]" displayFolder="" count="0" memberValueDatatype="5" unbalanced="0"/>
    <cacheHierarchy uniqueName="[maison].[Colonne1]" caption="Colonne1" attribute="1" defaultMemberUniqueName="[maison].[Colonne1].[All]" allUniqueName="[maison].[Colonne1].[All]" dimensionUniqueName="[maison]" displayFolder="" count="0" memberValueDatatype="130" unbalanced="0"/>
    <cacheHierarchy uniqueName="[maison].[Colonne2]" caption="Colonne2" attribute="1" defaultMemberUniqueName="[maison].[Colonne2].[All]" allUniqueName="[maison].[Colonne2].[All]" dimensionUniqueName="[maison]" displayFolder="" count="0" memberValueDatatype="20" unbalanced="0"/>
    <cacheHierarchy uniqueName="[maison].[Colonne3]" caption="Colonne3" attribute="1" defaultMemberUniqueName="[maison].[Colonne3].[All]" allUniqueName="[maison].[Colonne3].[All]" dimensionUniqueName="[maison]" displayFolder="" count="0" memberValueDatatype="20" unbalanced="0"/>
    <cacheHierarchy uniqueName="[maison].[Colonne4]" caption="Colonne4" attribute="1" defaultMemberUniqueName="[maison].[Colonne4].[All]" allUniqueName="[maison].[Colonne4].[All]" dimensionUniqueName="[maison]" displayFolder="" count="0" memberValueDatatype="20" unbalanced="0"/>
    <cacheHierarchy uniqueName="[maison].[Colonne5]" caption="Colonne5" attribute="1" defaultMemberUniqueName="[maison].[Colonne5].[All]" allUniqueName="[maison].[Colonne5].[All]" dimensionUniqueName="[maison]" displayFolder="" count="0" memberValueDatatype="20" unbalanced="0"/>
    <cacheHierarchy uniqueName="[maison].[Colonne6]" caption="Colonne6" attribute="1" defaultMemberUniqueName="[maison].[Colonne6].[All]" allUniqueName="[maison].[Colonne6].[All]" dimensionUniqueName="[maison]" displayFolder="" count="0" memberValueDatatype="20" unbalanced="0"/>
    <cacheHierarchy uniqueName="[maison].[Colonne7]" caption="Colonne7" attribute="1" defaultMemberUniqueName="[maison].[Colonne7].[All]" allUniqueName="[maison].[Colonne7].[All]" dimensionUniqueName="[maison]" displayFolder="" count="0" memberValueDatatype="20" unbalanced="0"/>
    <cacheHierarchy uniqueName="[maison].[Colonne8]" caption="Colonne8" attribute="1" defaultMemberUniqueName="[maison].[Colonne8].[All]" allUniqueName="[maison].[Colonne8].[All]" dimensionUniqueName="[maison]" displayFolder="" count="0" memberValueDatatype="20" unbalanced="0"/>
    <cacheHierarchy uniqueName="[maison].[Colonne9]" caption="Colonne9" attribute="1" defaultMemberUniqueName="[maison].[Colonne9].[All]" allUniqueName="[maison].[Colonne9].[All]" dimensionUniqueName="[maison]" displayFolder="" count="0" memberValueDatatype="20" unbalanced="0"/>
    <cacheHierarchy uniqueName="[maison].[Colonne10]" caption="Colonne10" attribute="1" defaultMemberUniqueName="[maison].[Colonne10].[All]" allUniqueName="[maison].[Colonne10].[All]" dimensionUniqueName="[maison]" displayFolder="" count="0" memberValueDatatype="20" unbalanced="0"/>
    <cacheHierarchy uniqueName="[maison].[Colonne11]" caption="Colonne11" attribute="1" defaultMemberUniqueName="[maison].[Colonne11].[All]" allUniqueName="[maison].[Colonne11].[All]" dimensionUniqueName="[maison]" displayFolder="" count="0" memberValueDatatype="20" unbalanced="0"/>
    <cacheHierarchy uniqueName="[maison].[Colonne12]" caption="Colonne12" attribute="1" defaultMemberUniqueName="[maison].[Colonne12].[All]" allUniqueName="[maison].[Colonne12].[All]" dimensionUniqueName="[maison]" displayFolder="" count="0" memberValueDatatype="20" unbalanced="0"/>
    <cacheHierarchy uniqueName="[maison].[Colonne13]" caption="Colonne13" attribute="1" defaultMemberUniqueName="[maison].[Colonne13].[All]" allUniqueName="[maison].[Colonne13].[All]" dimensionUniqueName="[maison]" displayFolder="" count="0" memberValueDatatype="20" unbalanced="0"/>
    <cacheHierarchy uniqueName="[maison].[Colonne14]" caption="Colonne14" attribute="1" defaultMemberUniqueName="[maison].[Colonne14].[All]" allUniqueName="[maison].[Colonne14].[All]" dimensionUniqueName="[maison]" displayFolder="" count="0" memberValueDatatype="20" unbalanced="0"/>
    <cacheHierarchy uniqueName="[nourriture].[Colonne1]" caption="Colonne1" attribute="1" defaultMemberUniqueName="[nourriture].[Colonne1].[All]" allUniqueName="[nourriture].[Colonne1].[All]" dimensionUniqueName="[nourriture]" displayFolder="" count="0" memberValueDatatype="130" unbalanced="0"/>
    <cacheHierarchy uniqueName="[nourriture].[Colonne2]" caption="Colonne2" attribute="1" defaultMemberUniqueName="[nourriture].[Colonne2].[All]" allUniqueName="[nourriture].[Colonne2].[All]" dimensionUniqueName="[nourriture]" displayFolder="" count="0" memberValueDatatype="20" unbalanced="0"/>
    <cacheHierarchy uniqueName="[nourriture].[Colonne3]" caption="Colonne3" attribute="1" defaultMemberUniqueName="[nourriture].[Colonne3].[All]" allUniqueName="[nourriture].[Colonne3].[All]" dimensionUniqueName="[nourriture]" displayFolder="" count="0" memberValueDatatype="20" unbalanced="0"/>
    <cacheHierarchy uniqueName="[nourriture].[Colonne4]" caption="Colonne4" attribute="1" defaultMemberUniqueName="[nourriture].[Colonne4].[All]" allUniqueName="[nourriture].[Colonne4].[All]" dimensionUniqueName="[nourriture]" displayFolder="" count="0" memberValueDatatype="20" unbalanced="0"/>
    <cacheHierarchy uniqueName="[nourriture].[Colonne5]" caption="Colonne5" attribute="1" defaultMemberUniqueName="[nourriture].[Colonne5].[All]" allUniqueName="[nourriture].[Colonne5].[All]" dimensionUniqueName="[nourriture]" displayFolder="" count="0" memberValueDatatype="20" unbalanced="0"/>
    <cacheHierarchy uniqueName="[nourriture].[Colonne6]" caption="Colonne6" attribute="1" defaultMemberUniqueName="[nourriture].[Colonne6].[All]" allUniqueName="[nourriture].[Colonne6].[All]" dimensionUniqueName="[nourriture]" displayFolder="" count="0" memberValueDatatype="20" unbalanced="0"/>
    <cacheHierarchy uniqueName="[nourriture].[Colonne7]" caption="Colonne7" attribute="1" defaultMemberUniqueName="[nourriture].[Colonne7].[All]" allUniqueName="[nourriture].[Colonne7].[All]" dimensionUniqueName="[nourriture]" displayFolder="" count="0" memberValueDatatype="20" unbalanced="0"/>
    <cacheHierarchy uniqueName="[nourriture].[Colonne8]" caption="Colonne8" attribute="1" defaultMemberUniqueName="[nourriture].[Colonne8].[All]" allUniqueName="[nourriture].[Colonne8].[All]" dimensionUniqueName="[nourriture]" displayFolder="" count="0" memberValueDatatype="20" unbalanced="0"/>
    <cacheHierarchy uniqueName="[nourriture].[Colonne9]" caption="Colonne9" attribute="1" defaultMemberUniqueName="[nourriture].[Colonne9].[All]" allUniqueName="[nourriture].[Colonne9].[All]" dimensionUniqueName="[nourriture]" displayFolder="" count="0" memberValueDatatype="20" unbalanced="0"/>
    <cacheHierarchy uniqueName="[nourriture].[Colonne10]" caption="Colonne10" attribute="1" defaultMemberUniqueName="[nourriture].[Colonne10].[All]" allUniqueName="[nourriture].[Colonne10].[All]" dimensionUniqueName="[nourriture]" displayFolder="" count="0" memberValueDatatype="20" unbalanced="0"/>
    <cacheHierarchy uniqueName="[nourriture].[Colonne11]" caption="Colonne11" attribute="1" defaultMemberUniqueName="[nourriture].[Colonne11].[All]" allUniqueName="[nourriture].[Colonne11].[All]" dimensionUniqueName="[nourriture]" displayFolder="" count="0" memberValueDatatype="20" unbalanced="0"/>
    <cacheHierarchy uniqueName="[nourriture].[Colonne12]" caption="Colonne12" attribute="1" defaultMemberUniqueName="[nourriture].[Colonne12].[All]" allUniqueName="[nourriture].[Colonne12].[All]" dimensionUniqueName="[nourriture]" displayFolder="" count="0" memberValueDatatype="20" unbalanced="0"/>
    <cacheHierarchy uniqueName="[nourriture].[Colonne13]" caption="Colonne13" attribute="1" defaultMemberUniqueName="[nourriture].[Colonne13].[All]" allUniqueName="[nourriture].[Colonne13].[All]" dimensionUniqueName="[nourriture]" displayFolder="" count="0" memberValueDatatype="20" unbalanced="0"/>
    <cacheHierarchy uniqueName="[nourriture].[Colonne14]" caption="Colonne14" attribute="1" defaultMemberUniqueName="[nourriture].[Colonne14].[All]" allUniqueName="[nourriture].[Colonne14].[All]" dimensionUniqueName="[nourriture]" displayFolder="" count="0" memberValueDatatype="20" unbalanced="0"/>
    <cacheHierarchy uniqueName="[revenue].[Elements]" caption="Elements" attribute="1" defaultMemberUniqueName="[revenue].[Elements].[All]" allUniqueName="[revenue].[Elements].[All]" dimensionUniqueName="[revenue]" displayFolder="" count="0" memberValueDatatype="130" unbalanced="0"/>
    <cacheHierarchy uniqueName="[revenue].[Janv.]" caption="Janv." attribute="1" defaultMemberUniqueName="[revenue].[Janv.].[All]" allUniqueName="[revenue].[Janv.].[All]" dimensionUniqueName="[revenue]" displayFolder="" count="0" memberValueDatatype="20" unbalanced="0"/>
    <cacheHierarchy uniqueName="[revenue].[Fev.]" caption="Fev." attribute="1" defaultMemberUniqueName="[revenue].[Fev.].[All]" allUniqueName="[revenue].[Fev.].[All]" dimensionUniqueName="[revenue]" displayFolder="" count="0" memberValueDatatype="20" unbalanced="0"/>
    <cacheHierarchy uniqueName="[revenue].[Mars.]" caption="Mars." attribute="1" defaultMemberUniqueName="[revenue].[Mars.].[All]" allUniqueName="[revenue].[Mars.].[All]" dimensionUniqueName="[revenue]" displayFolder="" count="0" memberValueDatatype="20" unbalanced="0"/>
    <cacheHierarchy uniqueName="[revenue].[Avril]" caption="Avril" attribute="1" defaultMemberUniqueName="[revenue].[Avril].[All]" allUniqueName="[revenue].[Avril].[All]" dimensionUniqueName="[revenue]" displayFolder="" count="0" memberValueDatatype="20" unbalanced="0"/>
    <cacheHierarchy uniqueName="[revenue].[Mai]" caption="Mai" attribute="1" defaultMemberUniqueName="[revenue].[Mai].[All]" allUniqueName="[revenue].[Mai].[All]" dimensionUniqueName="[revenue]" displayFolder="" count="0" memberValueDatatype="20" unbalanced="0"/>
    <cacheHierarchy uniqueName="[revenue].[Juin]" caption="Juin" attribute="1" defaultMemberUniqueName="[revenue].[Juin].[All]" allUniqueName="[revenue].[Juin].[All]" dimensionUniqueName="[revenue]" displayFolder="" count="0" memberValueDatatype="20" unbalanced="0"/>
    <cacheHierarchy uniqueName="[revenue].[Juillet]" caption="Juillet" attribute="1" defaultMemberUniqueName="[revenue].[Juillet].[All]" allUniqueName="[revenue].[Juillet].[All]" dimensionUniqueName="[revenue]" displayFolder="" count="0" memberValueDatatype="20" unbalanced="0"/>
    <cacheHierarchy uniqueName="[revenue].[Aout]" caption="Aout" attribute="1" defaultMemberUniqueName="[revenue].[Aout].[All]" allUniqueName="[revenue].[Aout].[All]" dimensionUniqueName="[revenue]" displayFolder="" count="0" memberValueDatatype="20" unbalanced="0"/>
    <cacheHierarchy uniqueName="[revenue].[Sept.]" caption="Sept." attribute="1" defaultMemberUniqueName="[revenue].[Sept.].[All]" allUniqueName="[revenue].[Sept.].[All]" dimensionUniqueName="[revenue]" displayFolder="" count="0" memberValueDatatype="20" unbalanced="0"/>
    <cacheHierarchy uniqueName="[revenue].[Oct.]" caption="Oct." attribute="1" defaultMemberUniqueName="[revenue].[Oct.].[All]" allUniqueName="[revenue].[Oct.].[All]" dimensionUniqueName="[revenue]" displayFolder="" count="0" memberValueDatatype="20" unbalanced="0"/>
    <cacheHierarchy uniqueName="[revenue].[Nov.]" caption="Nov." attribute="1" defaultMemberUniqueName="[revenue].[Nov.].[All]" allUniqueName="[revenue].[Nov.].[All]" dimensionUniqueName="[revenue]" displayFolder="" count="0" memberValueDatatype="20" unbalanced="0"/>
    <cacheHierarchy uniqueName="[revenue].[Dec]" caption="Dec" attribute="1" defaultMemberUniqueName="[revenue].[Dec].[All]" allUniqueName="[revenue].[Dec].[All]" dimensionUniqueName="[revenue]" displayFolder="" count="0" memberValueDatatype="20" unbalanced="0"/>
    <cacheHierarchy uniqueName="[revenue].[Year to Date]" caption="Year to Date" attribute="1" defaultMemberUniqueName="[revenue].[Year to Date].[All]" allUniqueName="[revenue].[Year to Date].[All]" dimensionUniqueName="[revenue]" displayFolder="" count="0" memberValueDatatype="20" unbalanced="0"/>
    <cacheHierarchy uniqueName="[revenuXYZ].[Date]" caption="Date" attribute="1" time="1" defaultMemberUniqueName="[revenuXYZ].[Date].[All]" allUniqueName="[revenuXYZ].[Date].[All]" dimensionUniqueName="[revenuXYZ]" displayFolder="" count="0" memberValueDatatype="7" unbalanced="0"/>
    <cacheHierarchy uniqueName="[revenuXYZ].[mois]" caption="mois" attribute="1" defaultMemberUniqueName="[revenuXYZ].[mois].[All]" allUniqueName="[revenuXYZ].[mois].[All]" dimensionUniqueName="[revenuXYZ]" displayFolder="" count="0" memberValueDatatype="20" unbalanced="0"/>
    <cacheHierarchy uniqueName="[revenuXYZ].[categorie]" caption="categorie" attribute="1" defaultMemberUniqueName="[revenuXYZ].[categorie].[All]" allUniqueName="[revenuXYZ].[categorie].[All]" dimensionUniqueName="[revenuXYZ]" displayFolder="" count="2" memberValueDatatype="130" unbalanced="0">
      <fieldsUsage count="2">
        <fieldUsage x="-1"/>
        <fieldUsage x="6"/>
      </fieldsUsage>
    </cacheHierarchy>
    <cacheHierarchy uniqueName="[revenuXYZ].[Description]" caption="Description" attribute="1" defaultMemberUniqueName="[revenuXYZ].[Description].[All]" allUniqueName="[revenuXYZ].[Description].[All]" dimensionUniqueName="[revenuXYZ]" displayFolder="" count="0" memberValueDatatype="130" unbalanced="0"/>
    <cacheHierarchy uniqueName="[revenuXYZ].[montant]" caption="montant" attribute="1" defaultMemberUniqueName="[revenuXYZ].[montant].[All]" allUniqueName="[revenuXYZ].[montant].[All]" dimensionUniqueName="[revenuXYZ]" displayFolder="" count="0" memberValueDatatype="20" unbalanced="0"/>
    <cacheHierarchy uniqueName="[revenuXYZ].[montant_CFA]" caption="montant_CFA" attribute="1" defaultMemberUniqueName="[revenuXYZ].[montant_CFA].[All]" allUniqueName="[revenuXYZ].[montant_CFA].[All]" dimensionUniqueName="[revenuXYZ]" displayFolder="" count="0" memberValueDatatype="5" unbalanced="0"/>
    <cacheHierarchy uniqueName="[revenuXYZ].[source]" caption="source" attribute="1" defaultMemberUniqueName="[revenuXYZ].[source].[All]" allUniqueName="[revenuXYZ].[source].[All]" dimensionUniqueName="[revenuXYZ]" displayFolder="" count="0" memberValueDatatype="130" unbalanced="0"/>
    <cacheHierarchy uniqueName="[revenuXYZ].[ID]" caption="ID" attribute="1" defaultMemberUniqueName="[revenuXYZ].[ID].[All]" allUniqueName="[revenuXYZ].[ID].[All]" dimensionUniqueName="[revenuXYZ]" displayFolder="" count="0" memberValueDatatype="20" unbalanced="0"/>
    <cacheHierarchy uniqueName="[transport].[Colonne1]" caption="Colonne1" attribute="1" defaultMemberUniqueName="[transport].[Colonne1].[All]" allUniqueName="[transport].[Colonne1].[All]" dimensionUniqueName="[transport]" displayFolder="" count="0" memberValueDatatype="130" unbalanced="0"/>
    <cacheHierarchy uniqueName="[transport].[Colonne2]" caption="Colonne2" attribute="1" defaultMemberUniqueName="[transport].[Colonne2].[All]" allUniqueName="[transport].[Colonne2].[All]" dimensionUniqueName="[transport]" displayFolder="" count="0" memberValueDatatype="20" unbalanced="0"/>
    <cacheHierarchy uniqueName="[transport].[Colonne3]" caption="Colonne3" attribute="1" defaultMemberUniqueName="[transport].[Colonne3].[All]" allUniqueName="[transport].[Colonne3].[All]" dimensionUniqueName="[transport]" displayFolder="" count="0" memberValueDatatype="20" unbalanced="0"/>
    <cacheHierarchy uniqueName="[transport].[Colonne4]" caption="Colonne4" attribute="1" defaultMemberUniqueName="[transport].[Colonne4].[All]" allUniqueName="[transport].[Colonne4].[All]" dimensionUniqueName="[transport]" displayFolder="" count="0" memberValueDatatype="20" unbalanced="0"/>
    <cacheHierarchy uniqueName="[transport].[Colonne5]" caption="Colonne5" attribute="1" defaultMemberUniqueName="[transport].[Colonne5].[All]" allUniqueName="[transport].[Colonne5].[All]" dimensionUniqueName="[transport]" displayFolder="" count="0" memberValueDatatype="20" unbalanced="0"/>
    <cacheHierarchy uniqueName="[transport].[Colonne6]" caption="Colonne6" attribute="1" defaultMemberUniqueName="[transport].[Colonne6].[All]" allUniqueName="[transport].[Colonne6].[All]" dimensionUniqueName="[transport]" displayFolder="" count="0" memberValueDatatype="20" unbalanced="0"/>
    <cacheHierarchy uniqueName="[transport].[Colonne7]" caption="Colonne7" attribute="1" defaultMemberUniqueName="[transport].[Colonne7].[All]" allUniqueName="[transport].[Colonne7].[All]" dimensionUniqueName="[transport]" displayFolder="" count="0" memberValueDatatype="20" unbalanced="0"/>
    <cacheHierarchy uniqueName="[transport].[Colonne8]" caption="Colonne8" attribute="1" defaultMemberUniqueName="[transport].[Colonne8].[All]" allUniqueName="[transport].[Colonne8].[All]" dimensionUniqueName="[transport]" displayFolder="" count="0" memberValueDatatype="20" unbalanced="0"/>
    <cacheHierarchy uniqueName="[transport].[Colonne9]" caption="Colonne9" attribute="1" defaultMemberUniqueName="[transport].[Colonne9].[All]" allUniqueName="[transport].[Colonne9].[All]" dimensionUniqueName="[transport]" displayFolder="" count="0" memberValueDatatype="20" unbalanced="0"/>
    <cacheHierarchy uniqueName="[transport].[Colonne10]" caption="Colonne10" attribute="1" defaultMemberUniqueName="[transport].[Colonne10].[All]" allUniqueName="[transport].[Colonne10].[All]" dimensionUniqueName="[transport]" displayFolder="" count="0" memberValueDatatype="20" unbalanced="0"/>
    <cacheHierarchy uniqueName="[transport].[Colonne11]" caption="Colonne11" attribute="1" defaultMemberUniqueName="[transport].[Colonne11].[All]" allUniqueName="[transport].[Colonne11].[All]" dimensionUniqueName="[transport]" displayFolder="" count="0" memberValueDatatype="20" unbalanced="0"/>
    <cacheHierarchy uniqueName="[transport].[Colonne12]" caption="Colonne12" attribute="1" defaultMemberUniqueName="[transport].[Colonne12].[All]" allUniqueName="[transport].[Colonne12].[All]" dimensionUniqueName="[transport]" displayFolder="" count="0" memberValueDatatype="20" unbalanced="0"/>
    <cacheHierarchy uniqueName="[transport].[Colonne13]" caption="Colonne13" attribute="1" defaultMemberUniqueName="[transport].[Colonne13].[All]" allUniqueName="[transport].[Colonne13].[All]" dimensionUniqueName="[transport]" displayFolder="" count="0" memberValueDatatype="20" unbalanced="0"/>
    <cacheHierarchy uniqueName="[transport].[Colonne14]" caption="Colonne14" attribute="1" defaultMemberUniqueName="[transport].[Colonne14].[All]" allUniqueName="[transport].[Colonne14].[All]" dimensionUniqueName="[transport]" displayFolder="" count="0" memberValueDatatype="20" unbalanced="0"/>
    <cacheHierarchy uniqueName="[Date].[Date (Month Index)]" caption="Date (Month Index)" attribute="1" defaultMemberUniqueName="[Date].[Date (Month Index)].[All]" allUniqueName="[Date].[Date (Month Index)].[All]" dimensionUniqueName="[Date]" displayFolder="" count="0" memberValueDatatype="20" unbalanced="0" hidden="1"/>
    <cacheHierarchy uniqueName="[Measures].[Sum of montant]" caption="Sum of montant" measure="1" displayFolder="" measureGroup="revenuXYZ" count="0">
      <extLst>
        <ext xmlns:x15="http://schemas.microsoft.com/office/spreadsheetml/2010/11/main" uri="{B97F6D7D-B522-45F9-BDA1-12C45D357490}">
          <x15:cacheHierarchy aggregatedColumn="72"/>
        </ext>
      </extLst>
    </cacheHierarchy>
    <cacheHierarchy uniqueName="[Measures].[Sum of montant 2]" caption="Sum of montant 2" measure="1" displayFolder="" measureGroup="depense" count="0">
      <extLst>
        <ext xmlns:x15="http://schemas.microsoft.com/office/spreadsheetml/2010/11/main" uri="{B97F6D7D-B522-45F9-BDA1-12C45D357490}">
          <x15:cacheHierarchy aggregatedColumn="12"/>
        </ext>
      </extLst>
    </cacheHierarchy>
    <cacheHierarchy uniqueName="[Measures].[Average of montant]" caption="Average of montant" measure="1" displayFolder="" measureGroup="depense" count="0">
      <extLst>
        <ext xmlns:x15="http://schemas.microsoft.com/office/spreadsheetml/2010/11/main" uri="{B97F6D7D-B522-45F9-BDA1-12C45D357490}">
          <x15:cacheHierarchy aggregatedColumn="12"/>
        </ext>
      </extLst>
    </cacheHierarchy>
    <cacheHierarchy uniqueName="[Measures].[reste]" caption="reste" measure="1" displayFolder="" measureGroup="revenue" count="0"/>
    <cacheHierarchy uniqueName="[Measures].[TotalRevenue]" caption="TotalRevenue" measure="1" displayFolder="" measureGroup="revenuXYZ" count="0"/>
    <cacheHierarchy uniqueName="[Measures].[TotalDepense]" caption="TotalDepense" measure="1" displayFolder="" measureGroup="depense" count="0" oneField="1">
      <fieldsUsage count="1">
        <fieldUsage x="0"/>
      </fieldsUsage>
    </cacheHierarchy>
    <cacheHierarchy uniqueName="[Measures].[TotalReste]" caption="TotalReste" measure="1" displayFolder="" measureGroup="depense" count="0" oneField="1">
      <fieldsUsage count="1">
        <fieldUsage x="1"/>
      </fieldsUsage>
    </cacheHierarchy>
    <cacheHierarchy uniqueName="[Measures].[10% du Revenu]" caption="10% du Revenu" measure="1" displayFolder="" measureGroup="revenue" count="0"/>
    <cacheHierarchy uniqueName="[Measures].[20% du Revenu]" caption="20% du Revenu" measure="1" displayFolder="" measureGroup="revenue" count="0"/>
    <cacheHierarchy uniqueName="[Measures].[Epargne]" caption="Epargne" measure="1" displayFolder="" measureGroup="revenue" count="0"/>
    <cacheHierarchy uniqueName="[Measures].[Reste Depensable]" caption="Reste Depensable" measure="1" displayFolder="" measureGroup="revenuXYZ" count="0"/>
    <cacheHierarchy uniqueName="[Measures].[dime]" caption="dime" measure="1" displayFolder="" measureGroup="revenuXYZ" count="0"/>
    <cacheHierarchy uniqueName="[Measures].[__XL_Count revenue]" caption="__XL_Count revenue" measure="1" displayFolder="" measureGroup="revenue" count="0" hidden="1"/>
    <cacheHierarchy uniqueName="[Measures].[__XL_Count maison]" caption="__XL_Count maison" measure="1" displayFolder="" measureGroup="maison" count="0" hidden="1"/>
    <cacheHierarchy uniqueName="[Measures].[__XL_Count nourriture]" caption="__XL_Count nourriture" measure="1" displayFolder="" measureGroup="nourriture" count="0" hidden="1"/>
    <cacheHierarchy uniqueName="[Measures].[__XL_Count transport]" caption="__XL_Count transport" measure="1" displayFolder="" measureGroup="transport" count="0" hidden="1"/>
    <cacheHierarchy uniqueName="[Measures].[__XL_Count revenuXYZ]" caption="__XL_Count revenuXYZ" measure="1" displayFolder="" measureGroup="revenuXYZ" count="0" hidden="1"/>
    <cacheHierarchy uniqueName="[Measures].[__XL_Count depense]" caption="__XL_Count depense" measure="1" displayFolder="" measureGroup="depense" count="0" hidden="1"/>
    <cacheHierarchy uniqueName="[Measures].[__XL_Count Table14]" caption="__XL_Count Table14" measure="1" displayFolder="" measureGroup="Date" count="0" hidden="1"/>
    <cacheHierarchy uniqueName="[Measures].[__XL_Count Epargne]" caption="__XL_Count Epargne" measure="1" displayFolder="" measureGroup="Epargne" count="0" hidden="1"/>
    <cacheHierarchy uniqueName="[Measures].[__XL_Count dime]" caption="__XL_Count dime" measure="1" displayFolder="" measureGroup="dime" count="0" hidden="1"/>
    <cacheHierarchy uniqueName="[Measures].[__No measures defined]" caption="__No measures defined" measure="1" displayFolder="" count="0" hidden="1"/>
  </cacheHierarchies>
  <kpis count="0"/>
  <dimensions count="10">
    <dimension name="Date" uniqueName="[Date]" caption="Date"/>
    <dimension name="depense" uniqueName="[depense]" caption="depense"/>
    <dimension name="dime" uniqueName="[dime]" caption="dime"/>
    <dimension name="Epargne" uniqueName="[Epargne]" caption="Epargne"/>
    <dimension name="maison" uniqueName="[maison]" caption="maison"/>
    <dimension measure="1" name="Measures" uniqueName="[Measures]" caption="Measures"/>
    <dimension name="nourriture" uniqueName="[nourriture]" caption="nourriture"/>
    <dimension name="revenue" uniqueName="[revenue]" caption="revenue"/>
    <dimension name="revenuXYZ" uniqueName="[revenuXYZ]" caption="revenuXYZ"/>
    <dimension name="transport" uniqueName="[transport]" caption="transport"/>
  </dimensions>
  <measureGroups count="9">
    <measureGroup name="Date" caption="Date"/>
    <measureGroup name="depense" caption="depense"/>
    <measureGroup name="dime" caption="dime"/>
    <measureGroup name="Epargne" caption="Epargne"/>
    <measureGroup name="maison" caption="maison"/>
    <measureGroup name="nourriture" caption="nourriture"/>
    <measureGroup name="revenue" caption="revenue"/>
    <measureGroup name="revenuXYZ" caption="revenuXYZ"/>
    <measureGroup name="transport" caption="transport"/>
  </measureGroups>
  <maps count="13">
    <map measureGroup="0" dimension="0"/>
    <map measureGroup="1" dimension="0"/>
    <map measureGroup="1" dimension="1"/>
    <map measureGroup="2" dimension="0"/>
    <map measureGroup="2" dimension="2"/>
    <map measureGroup="3" dimension="0"/>
    <map measureGroup="3" dimension="3"/>
    <map measureGroup="4" dimension="4"/>
    <map measureGroup="5" dimension="6"/>
    <map measureGroup="6" dimension="7"/>
    <map measureGroup="7" dimension="0"/>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504.703338541665" backgroundQuery="1" createdVersion="8" refreshedVersion="8" minRefreshableVersion="3" recordCount="0" supportSubquery="1" supportAdvancedDrill="1" xr:uid="{64ED0ADB-1D1D-4AFD-9EB6-563FB800CB55}">
  <cacheSource type="external" connectionId="1"/>
  <cacheFields count="2">
    <cacheField name="[depense].[source].[source]" caption="source" numFmtId="0" hierarchy="9" level="1">
      <sharedItems count="2">
        <s v="Banque"/>
        <s v="Portefeuille"/>
      </sharedItems>
    </cacheField>
    <cacheField name="[Measures].[TotalDepense]" caption="TotalDepense" numFmtId="0" hierarchy="96" level="32767"/>
  </cacheFields>
  <cacheHierarchies count="113">
    <cacheHierarchy uniqueName="[Date].[Date]" caption="Date" attribute="1" time="1" defaultMemberUniqueName="[Date].[Date].[All]" allUniqueName="[Date].[Date].[All]" dimensionUniqueName="[Date]" displayFolder="" count="0" memberValueDatatype="7" unbalanced="0"/>
    <cacheHierarchy uniqueName="[Date].[Date (Year)]" caption="Date (Year)" attribute="1" defaultMemberUniqueName="[Date].[Date (Year)].[All]" allUniqueName="[Date].[Date (Year)].[All]" dimensionUniqueName="[Date]" displayFolder="" count="0" memberValueDatatype="130" unbalanced="0"/>
    <cacheHierarchy uniqueName="[Date].[Date (Quarter)]" caption="Date (Quarter)" attribute="1" defaultMemberUniqueName="[Date].[Date (Quarter)].[All]" allUniqueName="[Date].[Date (Quarter)].[All]" dimensionUniqueName="[Date]" displayFolder="" count="0" memberValueDatatype="130" unbalanced="0"/>
    <cacheHierarchy uniqueName="[Date].[Date (Month)]" caption="Date (Month)" attribute="1" defaultMemberUniqueName="[Date].[Date (Month)].[All]" allUniqueName="[Date].[Date (Month)].[All]" dimensionUniqueName="[Date]" displayFolder="" count="0" memberValueDatatype="130" unbalanced="0"/>
    <cacheHierarchy uniqueName="[Date].[week]" caption="week" attribute="1" defaultMemberUniqueName="[Date].[week].[All]" allUniqueName="[Date].[week].[All]" dimensionUniqueName="[Date]" displayFolder="" count="0" memberValueDatatype="130" unbalanced="0"/>
    <cacheHierarchy uniqueName="[Date].[Mois]" caption="Mois" attribute="1" defaultMemberUniqueName="[Date].[Mois].[All]" allUniqueName="[Date].[Mois].[All]" dimensionUniqueName="[Date]" displayFolder="" count="0" memberValueDatatype="20" unbalanced="0"/>
    <cacheHierarchy uniqueName="[Date].[Nun_Month]" caption="Nun_Month" attribute="1" defaultMemberUniqueName="[Date].[Nun_Month].[All]" allUniqueName="[Date].[Nun_Month].[All]" dimensionUniqueName="[Date]" displayFolder="" count="0" memberValueDatatype="130" unbalanced="0"/>
    <cacheHierarchy uniqueName="[depense].[Date]" caption="Date" attribute="1" time="1" defaultMemberUniqueName="[depense].[Date].[All]" allUniqueName="[depense].[Date].[All]" dimensionUniqueName="[depense]" displayFolder="" count="0" memberValueDatatype="7" unbalanced="0"/>
    <cacheHierarchy uniqueName="[depense].[mois]" caption="mois" attribute="1" defaultMemberUniqueName="[depense].[mois].[All]" allUniqueName="[depense].[mois].[All]" dimensionUniqueName="[depense]" displayFolder="" count="0" memberValueDatatype="20" unbalanced="0"/>
    <cacheHierarchy uniqueName="[depense].[source]" caption="source" attribute="1" defaultMemberUniqueName="[depense].[source].[All]" allUniqueName="[depense].[source].[All]" dimensionUniqueName="[depense]" displayFolder="" count="2" memberValueDatatype="130" unbalanced="0">
      <fieldsUsage count="2">
        <fieldUsage x="-1"/>
        <fieldUsage x="0"/>
      </fieldsUsage>
    </cacheHierarchy>
    <cacheHierarchy uniqueName="[depense].[Caegorie]" caption="Caegorie" attribute="1" defaultMemberUniqueName="[depense].[Caegorie].[All]" allUniqueName="[depense].[Caegorie].[All]" dimensionUniqueName="[depense]" displayFolder="" count="0" memberValueDatatype="130" unbalanced="0"/>
    <cacheHierarchy uniqueName="[depense].[Description]" caption="Description" attribute="1" defaultMemberUniqueName="[depense].[Description].[All]" allUniqueName="[depense].[Description].[All]" dimensionUniqueName="[depense]" displayFolder="" count="0" memberValueDatatype="130" unbalanced="0"/>
    <cacheHierarchy uniqueName="[depense].[montant]" caption="montant" attribute="1" defaultMemberUniqueName="[depense].[montant].[All]" allUniqueName="[depense].[montant].[All]" dimensionUniqueName="[depense]" displayFolder="" count="0" memberValueDatatype="20" unbalanced="0"/>
    <cacheHierarchy uniqueName="[depense].[montant_CFA]" caption="montant_CFA" attribute="1" defaultMemberUniqueName="[depense].[montant_CFA].[All]" allUniqueName="[depense].[montant_CFA].[All]" dimensionUniqueName="[depense]" displayFolder="" count="0" memberValueDatatype="20" unbalanced="0"/>
    <cacheHierarchy uniqueName="[depense].[ID]" caption="ID" attribute="1" defaultMemberUniqueName="[depense].[ID].[All]" allUniqueName="[depense].[ID].[All]" dimensionUniqueName="[depense]" displayFolder="" count="0" memberValueDatatype="20" unbalanced="0"/>
    <cacheHierarchy uniqueName="[dime].[Date]" caption="Date" attribute="1" time="1" defaultMemberUniqueName="[dime].[Date].[All]" allUniqueName="[dime].[Date].[All]" dimensionUniqueName="[dime]" displayFolder="" count="0" memberValueDatatype="7" unbalanced="0"/>
    <cacheHierarchy uniqueName="[dime].[ID_revenue]" caption="ID_revenue" attribute="1" defaultMemberUniqueName="[dime].[ID_revenue].[All]" allUniqueName="[dime].[ID_revenue].[All]" dimensionUniqueName="[dime]" displayFolder="" count="0" memberValueDatatype="20" unbalanced="0"/>
    <cacheHierarchy uniqueName="[dime].[Description]" caption="Description" attribute="1" defaultMemberUniqueName="[dime].[Description].[All]" allUniqueName="[dime].[Description].[All]" dimensionUniqueName="[dime]" displayFolder="" count="0" memberValueDatatype="130" unbalanced="0"/>
    <cacheHierarchy uniqueName="[dime].[source]" caption="source" attribute="1" defaultMemberUniqueName="[dime].[source].[All]" allUniqueName="[dime].[source].[All]" dimensionUniqueName="[dime]" displayFolder="" count="0" memberValueDatatype="130" unbalanced="0"/>
    <cacheHierarchy uniqueName="[dime].[montant]" caption="montant" attribute="1" defaultMemberUniqueName="[dime].[montant].[All]" allUniqueName="[dime].[montant].[All]" dimensionUniqueName="[dime]" displayFolder="" count="0" memberValueDatatype="5" unbalanced="0"/>
    <cacheHierarchy uniqueName="[Epargne].[ID]" caption="ID" attribute="1" defaultMemberUniqueName="[Epargne].[ID].[All]" allUniqueName="[Epargne].[ID].[All]" dimensionUniqueName="[Epargne]" displayFolder="" count="0" memberValueDatatype="20" unbalanced="0"/>
    <cacheHierarchy uniqueName="[Epargne].[date]" caption="date" attribute="1" time="1" defaultMemberUniqueName="[Epargne].[date].[All]" allUniqueName="[Epargne].[date].[All]" dimensionUniqueName="[Epargne]" displayFolder="" count="0" memberValueDatatype="7" unbalanced="0"/>
    <cacheHierarchy uniqueName="[Epargne].[source]" caption="source" attribute="1" defaultMemberUniqueName="[Epargne].[source].[All]" allUniqueName="[Epargne].[source].[All]" dimensionUniqueName="[Epargne]" displayFolder="" count="0" memberValueDatatype="130" unbalanced="0"/>
    <cacheHierarchy uniqueName="[Epargne].[Description]" caption="Description" attribute="1" defaultMemberUniqueName="[Epargne].[Description].[All]" allUniqueName="[Epargne].[Description].[All]" dimensionUniqueName="[Epargne]" displayFolder="" count="0" memberValueDatatype="130" unbalanced="0"/>
    <cacheHierarchy uniqueName="[Epargne].[montant]" caption="montant" attribute="1" defaultMemberUniqueName="[Epargne].[montant].[All]" allUniqueName="[Epargne].[montant].[All]" dimensionUniqueName="[Epargne]" displayFolder="" count="0" memberValueDatatype="5" unbalanced="0"/>
    <cacheHierarchy uniqueName="[Epargne].[montant_CFA]" caption="montant_CFA" attribute="1" defaultMemberUniqueName="[Epargne].[montant_CFA].[All]" allUniqueName="[Epargne].[montant_CFA].[All]" dimensionUniqueName="[Epargne]" displayFolder="" count="0" memberValueDatatype="5" unbalanced="0"/>
    <cacheHierarchy uniqueName="[maison].[Colonne1]" caption="Colonne1" attribute="1" defaultMemberUniqueName="[maison].[Colonne1].[All]" allUniqueName="[maison].[Colonne1].[All]" dimensionUniqueName="[maison]" displayFolder="" count="0" memberValueDatatype="130" unbalanced="0"/>
    <cacheHierarchy uniqueName="[maison].[Colonne2]" caption="Colonne2" attribute="1" defaultMemberUniqueName="[maison].[Colonne2].[All]" allUniqueName="[maison].[Colonne2].[All]" dimensionUniqueName="[maison]" displayFolder="" count="0" memberValueDatatype="20" unbalanced="0"/>
    <cacheHierarchy uniqueName="[maison].[Colonne3]" caption="Colonne3" attribute="1" defaultMemberUniqueName="[maison].[Colonne3].[All]" allUniqueName="[maison].[Colonne3].[All]" dimensionUniqueName="[maison]" displayFolder="" count="0" memberValueDatatype="20" unbalanced="0"/>
    <cacheHierarchy uniqueName="[maison].[Colonne4]" caption="Colonne4" attribute="1" defaultMemberUniqueName="[maison].[Colonne4].[All]" allUniqueName="[maison].[Colonne4].[All]" dimensionUniqueName="[maison]" displayFolder="" count="0" memberValueDatatype="20" unbalanced="0"/>
    <cacheHierarchy uniqueName="[maison].[Colonne5]" caption="Colonne5" attribute="1" defaultMemberUniqueName="[maison].[Colonne5].[All]" allUniqueName="[maison].[Colonne5].[All]" dimensionUniqueName="[maison]" displayFolder="" count="0" memberValueDatatype="20" unbalanced="0"/>
    <cacheHierarchy uniqueName="[maison].[Colonne6]" caption="Colonne6" attribute="1" defaultMemberUniqueName="[maison].[Colonne6].[All]" allUniqueName="[maison].[Colonne6].[All]" dimensionUniqueName="[maison]" displayFolder="" count="0" memberValueDatatype="20" unbalanced="0"/>
    <cacheHierarchy uniqueName="[maison].[Colonne7]" caption="Colonne7" attribute="1" defaultMemberUniqueName="[maison].[Colonne7].[All]" allUniqueName="[maison].[Colonne7].[All]" dimensionUniqueName="[maison]" displayFolder="" count="0" memberValueDatatype="20" unbalanced="0"/>
    <cacheHierarchy uniqueName="[maison].[Colonne8]" caption="Colonne8" attribute="1" defaultMemberUniqueName="[maison].[Colonne8].[All]" allUniqueName="[maison].[Colonne8].[All]" dimensionUniqueName="[maison]" displayFolder="" count="0" memberValueDatatype="20" unbalanced="0"/>
    <cacheHierarchy uniqueName="[maison].[Colonne9]" caption="Colonne9" attribute="1" defaultMemberUniqueName="[maison].[Colonne9].[All]" allUniqueName="[maison].[Colonne9].[All]" dimensionUniqueName="[maison]" displayFolder="" count="0" memberValueDatatype="20" unbalanced="0"/>
    <cacheHierarchy uniqueName="[maison].[Colonne10]" caption="Colonne10" attribute="1" defaultMemberUniqueName="[maison].[Colonne10].[All]" allUniqueName="[maison].[Colonne10].[All]" dimensionUniqueName="[maison]" displayFolder="" count="0" memberValueDatatype="20" unbalanced="0"/>
    <cacheHierarchy uniqueName="[maison].[Colonne11]" caption="Colonne11" attribute="1" defaultMemberUniqueName="[maison].[Colonne11].[All]" allUniqueName="[maison].[Colonne11].[All]" dimensionUniqueName="[maison]" displayFolder="" count="0" memberValueDatatype="20" unbalanced="0"/>
    <cacheHierarchy uniqueName="[maison].[Colonne12]" caption="Colonne12" attribute="1" defaultMemberUniqueName="[maison].[Colonne12].[All]" allUniqueName="[maison].[Colonne12].[All]" dimensionUniqueName="[maison]" displayFolder="" count="0" memberValueDatatype="20" unbalanced="0"/>
    <cacheHierarchy uniqueName="[maison].[Colonne13]" caption="Colonne13" attribute="1" defaultMemberUniqueName="[maison].[Colonne13].[All]" allUniqueName="[maison].[Colonne13].[All]" dimensionUniqueName="[maison]" displayFolder="" count="0" memberValueDatatype="20" unbalanced="0"/>
    <cacheHierarchy uniqueName="[maison].[Colonne14]" caption="Colonne14" attribute="1" defaultMemberUniqueName="[maison].[Colonne14].[All]" allUniqueName="[maison].[Colonne14].[All]" dimensionUniqueName="[maison]" displayFolder="" count="0" memberValueDatatype="20" unbalanced="0"/>
    <cacheHierarchy uniqueName="[nourriture].[Colonne1]" caption="Colonne1" attribute="1" defaultMemberUniqueName="[nourriture].[Colonne1].[All]" allUniqueName="[nourriture].[Colonne1].[All]" dimensionUniqueName="[nourriture]" displayFolder="" count="0" memberValueDatatype="130" unbalanced="0"/>
    <cacheHierarchy uniqueName="[nourriture].[Colonne2]" caption="Colonne2" attribute="1" defaultMemberUniqueName="[nourriture].[Colonne2].[All]" allUniqueName="[nourriture].[Colonne2].[All]" dimensionUniqueName="[nourriture]" displayFolder="" count="0" memberValueDatatype="20" unbalanced="0"/>
    <cacheHierarchy uniqueName="[nourriture].[Colonne3]" caption="Colonne3" attribute="1" defaultMemberUniqueName="[nourriture].[Colonne3].[All]" allUniqueName="[nourriture].[Colonne3].[All]" dimensionUniqueName="[nourriture]" displayFolder="" count="0" memberValueDatatype="20" unbalanced="0"/>
    <cacheHierarchy uniqueName="[nourriture].[Colonne4]" caption="Colonne4" attribute="1" defaultMemberUniqueName="[nourriture].[Colonne4].[All]" allUniqueName="[nourriture].[Colonne4].[All]" dimensionUniqueName="[nourriture]" displayFolder="" count="0" memberValueDatatype="20" unbalanced="0"/>
    <cacheHierarchy uniqueName="[nourriture].[Colonne5]" caption="Colonne5" attribute="1" defaultMemberUniqueName="[nourriture].[Colonne5].[All]" allUniqueName="[nourriture].[Colonne5].[All]" dimensionUniqueName="[nourriture]" displayFolder="" count="0" memberValueDatatype="20" unbalanced="0"/>
    <cacheHierarchy uniqueName="[nourriture].[Colonne6]" caption="Colonne6" attribute="1" defaultMemberUniqueName="[nourriture].[Colonne6].[All]" allUniqueName="[nourriture].[Colonne6].[All]" dimensionUniqueName="[nourriture]" displayFolder="" count="0" memberValueDatatype="20" unbalanced="0"/>
    <cacheHierarchy uniqueName="[nourriture].[Colonne7]" caption="Colonne7" attribute="1" defaultMemberUniqueName="[nourriture].[Colonne7].[All]" allUniqueName="[nourriture].[Colonne7].[All]" dimensionUniqueName="[nourriture]" displayFolder="" count="0" memberValueDatatype="20" unbalanced="0"/>
    <cacheHierarchy uniqueName="[nourriture].[Colonne8]" caption="Colonne8" attribute="1" defaultMemberUniqueName="[nourriture].[Colonne8].[All]" allUniqueName="[nourriture].[Colonne8].[All]" dimensionUniqueName="[nourriture]" displayFolder="" count="0" memberValueDatatype="20" unbalanced="0"/>
    <cacheHierarchy uniqueName="[nourriture].[Colonne9]" caption="Colonne9" attribute="1" defaultMemberUniqueName="[nourriture].[Colonne9].[All]" allUniqueName="[nourriture].[Colonne9].[All]" dimensionUniqueName="[nourriture]" displayFolder="" count="0" memberValueDatatype="20" unbalanced="0"/>
    <cacheHierarchy uniqueName="[nourriture].[Colonne10]" caption="Colonne10" attribute="1" defaultMemberUniqueName="[nourriture].[Colonne10].[All]" allUniqueName="[nourriture].[Colonne10].[All]" dimensionUniqueName="[nourriture]" displayFolder="" count="0" memberValueDatatype="20" unbalanced="0"/>
    <cacheHierarchy uniqueName="[nourriture].[Colonne11]" caption="Colonne11" attribute="1" defaultMemberUniqueName="[nourriture].[Colonne11].[All]" allUniqueName="[nourriture].[Colonne11].[All]" dimensionUniqueName="[nourriture]" displayFolder="" count="0" memberValueDatatype="20" unbalanced="0"/>
    <cacheHierarchy uniqueName="[nourriture].[Colonne12]" caption="Colonne12" attribute="1" defaultMemberUniqueName="[nourriture].[Colonne12].[All]" allUniqueName="[nourriture].[Colonne12].[All]" dimensionUniqueName="[nourriture]" displayFolder="" count="0" memberValueDatatype="20" unbalanced="0"/>
    <cacheHierarchy uniqueName="[nourriture].[Colonne13]" caption="Colonne13" attribute="1" defaultMemberUniqueName="[nourriture].[Colonne13].[All]" allUniqueName="[nourriture].[Colonne13].[All]" dimensionUniqueName="[nourriture]" displayFolder="" count="0" memberValueDatatype="20" unbalanced="0"/>
    <cacheHierarchy uniqueName="[nourriture].[Colonne14]" caption="Colonne14" attribute="1" defaultMemberUniqueName="[nourriture].[Colonne14].[All]" allUniqueName="[nourriture].[Colonne14].[All]" dimensionUniqueName="[nourriture]" displayFolder="" count="0" memberValueDatatype="20" unbalanced="0"/>
    <cacheHierarchy uniqueName="[revenue].[Elements]" caption="Elements" attribute="1" defaultMemberUniqueName="[revenue].[Elements].[All]" allUniqueName="[revenue].[Elements].[All]" dimensionUniqueName="[revenue]" displayFolder="" count="0" memberValueDatatype="130" unbalanced="0"/>
    <cacheHierarchy uniqueName="[revenue].[Janv.]" caption="Janv." attribute="1" defaultMemberUniqueName="[revenue].[Janv.].[All]" allUniqueName="[revenue].[Janv.].[All]" dimensionUniqueName="[revenue]" displayFolder="" count="0" memberValueDatatype="20" unbalanced="0"/>
    <cacheHierarchy uniqueName="[revenue].[Fev.]" caption="Fev." attribute="1" defaultMemberUniqueName="[revenue].[Fev.].[All]" allUniqueName="[revenue].[Fev.].[All]" dimensionUniqueName="[revenue]" displayFolder="" count="0" memberValueDatatype="20" unbalanced="0"/>
    <cacheHierarchy uniqueName="[revenue].[Mars.]" caption="Mars." attribute="1" defaultMemberUniqueName="[revenue].[Mars.].[All]" allUniqueName="[revenue].[Mars.].[All]" dimensionUniqueName="[revenue]" displayFolder="" count="0" memberValueDatatype="20" unbalanced="0"/>
    <cacheHierarchy uniqueName="[revenue].[Avril]" caption="Avril" attribute="1" defaultMemberUniqueName="[revenue].[Avril].[All]" allUniqueName="[revenue].[Avril].[All]" dimensionUniqueName="[revenue]" displayFolder="" count="0" memberValueDatatype="20" unbalanced="0"/>
    <cacheHierarchy uniqueName="[revenue].[Mai]" caption="Mai" attribute="1" defaultMemberUniqueName="[revenue].[Mai].[All]" allUniqueName="[revenue].[Mai].[All]" dimensionUniqueName="[revenue]" displayFolder="" count="0" memberValueDatatype="20" unbalanced="0"/>
    <cacheHierarchy uniqueName="[revenue].[Juin]" caption="Juin" attribute="1" defaultMemberUniqueName="[revenue].[Juin].[All]" allUniqueName="[revenue].[Juin].[All]" dimensionUniqueName="[revenue]" displayFolder="" count="0" memberValueDatatype="20" unbalanced="0"/>
    <cacheHierarchy uniqueName="[revenue].[Juillet]" caption="Juillet" attribute="1" defaultMemberUniqueName="[revenue].[Juillet].[All]" allUniqueName="[revenue].[Juillet].[All]" dimensionUniqueName="[revenue]" displayFolder="" count="0" memberValueDatatype="20" unbalanced="0"/>
    <cacheHierarchy uniqueName="[revenue].[Aout]" caption="Aout" attribute="1" defaultMemberUniqueName="[revenue].[Aout].[All]" allUniqueName="[revenue].[Aout].[All]" dimensionUniqueName="[revenue]" displayFolder="" count="0" memberValueDatatype="20" unbalanced="0"/>
    <cacheHierarchy uniqueName="[revenue].[Sept.]" caption="Sept." attribute="1" defaultMemberUniqueName="[revenue].[Sept.].[All]" allUniqueName="[revenue].[Sept.].[All]" dimensionUniqueName="[revenue]" displayFolder="" count="0" memberValueDatatype="20" unbalanced="0"/>
    <cacheHierarchy uniqueName="[revenue].[Oct.]" caption="Oct." attribute="1" defaultMemberUniqueName="[revenue].[Oct.].[All]" allUniqueName="[revenue].[Oct.].[All]" dimensionUniqueName="[revenue]" displayFolder="" count="0" memberValueDatatype="20" unbalanced="0"/>
    <cacheHierarchy uniqueName="[revenue].[Nov.]" caption="Nov." attribute="1" defaultMemberUniqueName="[revenue].[Nov.].[All]" allUniqueName="[revenue].[Nov.].[All]" dimensionUniqueName="[revenue]" displayFolder="" count="0" memberValueDatatype="20" unbalanced="0"/>
    <cacheHierarchy uniqueName="[revenue].[Dec]" caption="Dec" attribute="1" defaultMemberUniqueName="[revenue].[Dec].[All]" allUniqueName="[revenue].[Dec].[All]" dimensionUniqueName="[revenue]" displayFolder="" count="0" memberValueDatatype="20" unbalanced="0"/>
    <cacheHierarchy uniqueName="[revenue].[Year to Date]" caption="Year to Date" attribute="1" defaultMemberUniqueName="[revenue].[Year to Date].[All]" allUniqueName="[revenue].[Year to Date].[All]" dimensionUniqueName="[revenue]" displayFolder="" count="0" memberValueDatatype="20" unbalanced="0"/>
    <cacheHierarchy uniqueName="[revenuXYZ].[Date]" caption="Date" attribute="1" time="1" defaultMemberUniqueName="[revenuXYZ].[Date].[All]" allUniqueName="[revenuXYZ].[Date].[All]" dimensionUniqueName="[revenuXYZ]" displayFolder="" count="0" memberValueDatatype="7" unbalanced="0"/>
    <cacheHierarchy uniqueName="[revenuXYZ].[mois]" caption="mois" attribute="1" defaultMemberUniqueName="[revenuXYZ].[mois].[All]" allUniqueName="[revenuXYZ].[mois].[All]" dimensionUniqueName="[revenuXYZ]" displayFolder="" count="0" memberValueDatatype="20" unbalanced="0"/>
    <cacheHierarchy uniqueName="[revenuXYZ].[categorie]" caption="categorie" attribute="1" defaultMemberUniqueName="[revenuXYZ].[categorie].[All]" allUniqueName="[revenuXYZ].[categorie].[All]" dimensionUniqueName="[revenuXYZ]" displayFolder="" count="0" memberValueDatatype="130" unbalanced="0"/>
    <cacheHierarchy uniqueName="[revenuXYZ].[Description]" caption="Description" attribute="1" defaultMemberUniqueName="[revenuXYZ].[Description].[All]" allUniqueName="[revenuXYZ].[Description].[All]" dimensionUniqueName="[revenuXYZ]" displayFolder="" count="0" memberValueDatatype="130" unbalanced="0"/>
    <cacheHierarchy uniqueName="[revenuXYZ].[montant]" caption="montant" attribute="1" defaultMemberUniqueName="[revenuXYZ].[montant].[All]" allUniqueName="[revenuXYZ].[montant].[All]" dimensionUniqueName="[revenuXYZ]" displayFolder="" count="0" memberValueDatatype="20" unbalanced="0"/>
    <cacheHierarchy uniqueName="[revenuXYZ].[montant_CFA]" caption="montant_CFA" attribute="1" defaultMemberUniqueName="[revenuXYZ].[montant_CFA].[All]" allUniqueName="[revenuXYZ].[montant_CFA].[All]" dimensionUniqueName="[revenuXYZ]" displayFolder="" count="0" memberValueDatatype="5" unbalanced="0"/>
    <cacheHierarchy uniqueName="[revenuXYZ].[source]" caption="source" attribute="1" defaultMemberUniqueName="[revenuXYZ].[source].[All]" allUniqueName="[revenuXYZ].[source].[All]" dimensionUniqueName="[revenuXYZ]" displayFolder="" count="0" memberValueDatatype="130" unbalanced="0"/>
    <cacheHierarchy uniqueName="[revenuXYZ].[ID]" caption="ID" attribute="1" defaultMemberUniqueName="[revenuXYZ].[ID].[All]" allUniqueName="[revenuXYZ].[ID].[All]" dimensionUniqueName="[revenuXYZ]" displayFolder="" count="0" memberValueDatatype="20" unbalanced="0"/>
    <cacheHierarchy uniqueName="[transport].[Colonne1]" caption="Colonne1" attribute="1" defaultMemberUniqueName="[transport].[Colonne1].[All]" allUniqueName="[transport].[Colonne1].[All]" dimensionUniqueName="[transport]" displayFolder="" count="0" memberValueDatatype="130" unbalanced="0"/>
    <cacheHierarchy uniqueName="[transport].[Colonne2]" caption="Colonne2" attribute="1" defaultMemberUniqueName="[transport].[Colonne2].[All]" allUniqueName="[transport].[Colonne2].[All]" dimensionUniqueName="[transport]" displayFolder="" count="0" memberValueDatatype="20" unbalanced="0"/>
    <cacheHierarchy uniqueName="[transport].[Colonne3]" caption="Colonne3" attribute="1" defaultMemberUniqueName="[transport].[Colonne3].[All]" allUniqueName="[transport].[Colonne3].[All]" dimensionUniqueName="[transport]" displayFolder="" count="0" memberValueDatatype="20" unbalanced="0"/>
    <cacheHierarchy uniqueName="[transport].[Colonne4]" caption="Colonne4" attribute="1" defaultMemberUniqueName="[transport].[Colonne4].[All]" allUniqueName="[transport].[Colonne4].[All]" dimensionUniqueName="[transport]" displayFolder="" count="0" memberValueDatatype="20" unbalanced="0"/>
    <cacheHierarchy uniqueName="[transport].[Colonne5]" caption="Colonne5" attribute="1" defaultMemberUniqueName="[transport].[Colonne5].[All]" allUniqueName="[transport].[Colonne5].[All]" dimensionUniqueName="[transport]" displayFolder="" count="0" memberValueDatatype="20" unbalanced="0"/>
    <cacheHierarchy uniqueName="[transport].[Colonne6]" caption="Colonne6" attribute="1" defaultMemberUniqueName="[transport].[Colonne6].[All]" allUniqueName="[transport].[Colonne6].[All]" dimensionUniqueName="[transport]" displayFolder="" count="0" memberValueDatatype="20" unbalanced="0"/>
    <cacheHierarchy uniqueName="[transport].[Colonne7]" caption="Colonne7" attribute="1" defaultMemberUniqueName="[transport].[Colonne7].[All]" allUniqueName="[transport].[Colonne7].[All]" dimensionUniqueName="[transport]" displayFolder="" count="0" memberValueDatatype="20" unbalanced="0"/>
    <cacheHierarchy uniqueName="[transport].[Colonne8]" caption="Colonne8" attribute="1" defaultMemberUniqueName="[transport].[Colonne8].[All]" allUniqueName="[transport].[Colonne8].[All]" dimensionUniqueName="[transport]" displayFolder="" count="0" memberValueDatatype="20" unbalanced="0"/>
    <cacheHierarchy uniqueName="[transport].[Colonne9]" caption="Colonne9" attribute="1" defaultMemberUniqueName="[transport].[Colonne9].[All]" allUniqueName="[transport].[Colonne9].[All]" dimensionUniqueName="[transport]" displayFolder="" count="0" memberValueDatatype="20" unbalanced="0"/>
    <cacheHierarchy uniqueName="[transport].[Colonne10]" caption="Colonne10" attribute="1" defaultMemberUniqueName="[transport].[Colonne10].[All]" allUniqueName="[transport].[Colonne10].[All]" dimensionUniqueName="[transport]" displayFolder="" count="0" memberValueDatatype="20" unbalanced="0"/>
    <cacheHierarchy uniqueName="[transport].[Colonne11]" caption="Colonne11" attribute="1" defaultMemberUniqueName="[transport].[Colonne11].[All]" allUniqueName="[transport].[Colonne11].[All]" dimensionUniqueName="[transport]" displayFolder="" count="0" memberValueDatatype="20" unbalanced="0"/>
    <cacheHierarchy uniqueName="[transport].[Colonne12]" caption="Colonne12" attribute="1" defaultMemberUniqueName="[transport].[Colonne12].[All]" allUniqueName="[transport].[Colonne12].[All]" dimensionUniqueName="[transport]" displayFolder="" count="0" memberValueDatatype="20" unbalanced="0"/>
    <cacheHierarchy uniqueName="[transport].[Colonne13]" caption="Colonne13" attribute="1" defaultMemberUniqueName="[transport].[Colonne13].[All]" allUniqueName="[transport].[Colonne13].[All]" dimensionUniqueName="[transport]" displayFolder="" count="0" memberValueDatatype="20" unbalanced="0"/>
    <cacheHierarchy uniqueName="[transport].[Colonne14]" caption="Colonne14" attribute="1" defaultMemberUniqueName="[transport].[Colonne14].[All]" allUniqueName="[transport].[Colonne14].[All]" dimensionUniqueName="[transport]" displayFolder="" count="0" memberValueDatatype="20" unbalanced="0"/>
    <cacheHierarchy uniqueName="[Date].[Date (Month Index)]" caption="Date (Month Index)" attribute="1" defaultMemberUniqueName="[Date].[Date (Month Index)].[All]" allUniqueName="[Date].[Date (Month Index)].[All]" dimensionUniqueName="[Date]" displayFolder="" count="0" memberValueDatatype="20" unbalanced="0" hidden="1"/>
    <cacheHierarchy uniqueName="[Measures].[Sum of montant]" caption="Sum of montant" measure="1" displayFolder="" measureGroup="revenuXYZ" count="0">
      <extLst>
        <ext xmlns:x15="http://schemas.microsoft.com/office/spreadsheetml/2010/11/main" uri="{B97F6D7D-B522-45F9-BDA1-12C45D357490}">
          <x15:cacheHierarchy aggregatedColumn="72"/>
        </ext>
      </extLst>
    </cacheHierarchy>
    <cacheHierarchy uniqueName="[Measures].[Sum of montant 2]" caption="Sum of montant 2" measure="1" displayFolder="" measureGroup="depense" count="0">
      <extLst>
        <ext xmlns:x15="http://schemas.microsoft.com/office/spreadsheetml/2010/11/main" uri="{B97F6D7D-B522-45F9-BDA1-12C45D357490}">
          <x15:cacheHierarchy aggregatedColumn="12"/>
        </ext>
      </extLst>
    </cacheHierarchy>
    <cacheHierarchy uniqueName="[Measures].[Average of montant]" caption="Average of montant" measure="1" displayFolder="" measureGroup="depense" count="0">
      <extLst>
        <ext xmlns:x15="http://schemas.microsoft.com/office/spreadsheetml/2010/11/main" uri="{B97F6D7D-B522-45F9-BDA1-12C45D357490}">
          <x15:cacheHierarchy aggregatedColumn="12"/>
        </ext>
      </extLst>
    </cacheHierarchy>
    <cacheHierarchy uniqueName="[Measures].[reste]" caption="reste" measure="1" displayFolder="" measureGroup="revenue" count="0"/>
    <cacheHierarchy uniqueName="[Measures].[TotalRevenue]" caption="TotalRevenue" measure="1" displayFolder="" measureGroup="revenuXYZ" count="0"/>
    <cacheHierarchy uniqueName="[Measures].[TotalDepense]" caption="TotalDepense" measure="1" displayFolder="" measureGroup="depense" count="0" oneField="1">
      <fieldsUsage count="1">
        <fieldUsage x="1"/>
      </fieldsUsage>
    </cacheHierarchy>
    <cacheHierarchy uniqueName="[Measures].[TotalReste]" caption="TotalReste" measure="1" displayFolder="" measureGroup="depense" count="0"/>
    <cacheHierarchy uniqueName="[Measures].[10% du Revenu]" caption="10% du Revenu" measure="1" displayFolder="" measureGroup="revenue" count="0"/>
    <cacheHierarchy uniqueName="[Measures].[20% du Revenu]" caption="20% du Revenu" measure="1" displayFolder="" measureGroup="revenue" count="0"/>
    <cacheHierarchy uniqueName="[Measures].[Epargne]" caption="Epargne" measure="1" displayFolder="" measureGroup="revenue" count="0"/>
    <cacheHierarchy uniqueName="[Measures].[Reste Depensable]" caption="Reste Depensable" measure="1" displayFolder="" measureGroup="revenuXYZ" count="0"/>
    <cacheHierarchy uniqueName="[Measures].[dime]" caption="dime" measure="1" displayFolder="" measureGroup="revenuXYZ" count="0"/>
    <cacheHierarchy uniqueName="[Measures].[__XL_Count revenue]" caption="__XL_Count revenue" measure="1" displayFolder="" measureGroup="revenue" count="0" hidden="1"/>
    <cacheHierarchy uniqueName="[Measures].[__XL_Count maison]" caption="__XL_Count maison" measure="1" displayFolder="" measureGroup="maison" count="0" hidden="1"/>
    <cacheHierarchy uniqueName="[Measures].[__XL_Count nourriture]" caption="__XL_Count nourriture" measure="1" displayFolder="" measureGroup="nourriture" count="0" hidden="1"/>
    <cacheHierarchy uniqueName="[Measures].[__XL_Count transport]" caption="__XL_Count transport" measure="1" displayFolder="" measureGroup="transport" count="0" hidden="1"/>
    <cacheHierarchy uniqueName="[Measures].[__XL_Count revenuXYZ]" caption="__XL_Count revenuXYZ" measure="1" displayFolder="" measureGroup="revenuXYZ" count="0" hidden="1"/>
    <cacheHierarchy uniqueName="[Measures].[__XL_Count depense]" caption="__XL_Count depense" measure="1" displayFolder="" measureGroup="depense" count="0" hidden="1"/>
    <cacheHierarchy uniqueName="[Measures].[__XL_Count Table14]" caption="__XL_Count Table14" measure="1" displayFolder="" measureGroup="Date" count="0" hidden="1"/>
    <cacheHierarchy uniqueName="[Measures].[__XL_Count Epargne]" caption="__XL_Count Epargne" measure="1" displayFolder="" measureGroup="Epargne" count="0" hidden="1"/>
    <cacheHierarchy uniqueName="[Measures].[__XL_Count dime]" caption="__XL_Count dime" measure="1" displayFolder="" measureGroup="dime" count="0" hidden="1"/>
    <cacheHierarchy uniqueName="[Measures].[__No measures defined]" caption="__No measures defined" measure="1" displayFolder="" count="0" hidden="1"/>
  </cacheHierarchies>
  <kpis count="0"/>
  <dimensions count="10">
    <dimension name="Date" uniqueName="[Date]" caption="Date"/>
    <dimension name="depense" uniqueName="[depense]" caption="depense"/>
    <dimension name="dime" uniqueName="[dime]" caption="dime"/>
    <dimension name="Epargne" uniqueName="[Epargne]" caption="Epargne"/>
    <dimension name="maison" uniqueName="[maison]" caption="maison"/>
    <dimension measure="1" name="Measures" uniqueName="[Measures]" caption="Measures"/>
    <dimension name="nourriture" uniqueName="[nourriture]" caption="nourriture"/>
    <dimension name="revenue" uniqueName="[revenue]" caption="revenue"/>
    <dimension name="revenuXYZ" uniqueName="[revenuXYZ]" caption="revenuXYZ"/>
    <dimension name="transport" uniqueName="[transport]" caption="transport"/>
  </dimensions>
  <measureGroups count="9">
    <measureGroup name="Date" caption="Date"/>
    <measureGroup name="depense" caption="depense"/>
    <measureGroup name="dime" caption="dime"/>
    <measureGroup name="Epargne" caption="Epargne"/>
    <measureGroup name="maison" caption="maison"/>
    <measureGroup name="nourriture" caption="nourriture"/>
    <measureGroup name="revenue" caption="revenue"/>
    <measureGroup name="revenuXYZ" caption="revenuXYZ"/>
    <measureGroup name="transport" caption="transport"/>
  </measureGroups>
  <maps count="13">
    <map measureGroup="0" dimension="0"/>
    <map measureGroup="1" dimension="0"/>
    <map measureGroup="1" dimension="1"/>
    <map measureGroup="2" dimension="0"/>
    <map measureGroup="2" dimension="2"/>
    <map measureGroup="3" dimension="0"/>
    <map measureGroup="3" dimension="3"/>
    <map measureGroup="4" dimension="4"/>
    <map measureGroup="5" dimension="6"/>
    <map measureGroup="6" dimension="7"/>
    <map measureGroup="7" dimension="0"/>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504.703339583335" backgroundQuery="1" createdVersion="8" refreshedVersion="8" minRefreshableVersion="3" recordCount="0" supportSubquery="1" supportAdvancedDrill="1" xr:uid="{A9D20C02-5FEE-4CE6-AB82-80265BA1AD2B}">
  <cacheSource type="external" connectionId="1"/>
  <cacheFields count="2">
    <cacheField name="[Measures].[TotalRevenue]" caption="TotalRevenue" numFmtId="0" hierarchy="95" level="32767"/>
    <cacheField name="[revenuXYZ].[source].[source]" caption="source" numFmtId="0" hierarchy="74" level="1">
      <sharedItems count="2">
        <s v="Banque"/>
        <s v="Portefeuille"/>
      </sharedItems>
    </cacheField>
  </cacheFields>
  <cacheHierarchies count="113">
    <cacheHierarchy uniqueName="[Date].[Date]" caption="Date" attribute="1" time="1" defaultMemberUniqueName="[Date].[Date].[All]" allUniqueName="[Date].[Date].[All]" dimensionUniqueName="[Date]" displayFolder="" count="0" memberValueDatatype="7" unbalanced="0"/>
    <cacheHierarchy uniqueName="[Date].[Date (Year)]" caption="Date (Year)" attribute="1" defaultMemberUniqueName="[Date].[Date (Year)].[All]" allUniqueName="[Date].[Date (Year)].[All]" dimensionUniqueName="[Date]" displayFolder="" count="0" memberValueDatatype="130" unbalanced="0"/>
    <cacheHierarchy uniqueName="[Date].[Date (Quarter)]" caption="Date (Quarter)" attribute="1" defaultMemberUniqueName="[Date].[Date (Quarter)].[All]" allUniqueName="[Date].[Date (Quarter)].[All]" dimensionUniqueName="[Date]" displayFolder="" count="0" memberValueDatatype="130" unbalanced="0"/>
    <cacheHierarchy uniqueName="[Date].[Date (Month)]" caption="Date (Month)" attribute="1" defaultMemberUniqueName="[Date].[Date (Month)].[All]" allUniqueName="[Date].[Date (Month)].[All]" dimensionUniqueName="[Date]" displayFolder="" count="0" memberValueDatatype="130" unbalanced="0"/>
    <cacheHierarchy uniqueName="[Date].[week]" caption="week" attribute="1" defaultMemberUniqueName="[Date].[week].[All]" allUniqueName="[Date].[week].[All]" dimensionUniqueName="[Date]" displayFolder="" count="0" memberValueDatatype="130" unbalanced="0"/>
    <cacheHierarchy uniqueName="[Date].[Mois]" caption="Mois" attribute="1" defaultMemberUniqueName="[Date].[Mois].[All]" allUniqueName="[Date].[Mois].[All]" dimensionUniqueName="[Date]" displayFolder="" count="0" memberValueDatatype="20" unbalanced="0"/>
    <cacheHierarchy uniqueName="[Date].[Nun_Month]" caption="Nun_Month" attribute="1" defaultMemberUniqueName="[Date].[Nun_Month].[All]" allUniqueName="[Date].[Nun_Month].[All]" dimensionUniqueName="[Date]" displayFolder="" count="0" memberValueDatatype="130" unbalanced="0"/>
    <cacheHierarchy uniqueName="[depense].[Date]" caption="Date" attribute="1" time="1" defaultMemberUniqueName="[depense].[Date].[All]" allUniqueName="[depense].[Date].[All]" dimensionUniqueName="[depense]" displayFolder="" count="0" memberValueDatatype="7" unbalanced="0"/>
    <cacheHierarchy uniqueName="[depense].[mois]" caption="mois" attribute="1" defaultMemberUniqueName="[depense].[mois].[All]" allUniqueName="[depense].[mois].[All]" dimensionUniqueName="[depense]" displayFolder="" count="0" memberValueDatatype="20" unbalanced="0"/>
    <cacheHierarchy uniqueName="[depense].[source]" caption="source" attribute="1" defaultMemberUniqueName="[depense].[source].[All]" allUniqueName="[depense].[source].[All]" dimensionUniqueName="[depense]" displayFolder="" count="0" memberValueDatatype="130" unbalanced="0"/>
    <cacheHierarchy uniqueName="[depense].[Caegorie]" caption="Caegorie" attribute="1" defaultMemberUniqueName="[depense].[Caegorie].[All]" allUniqueName="[depense].[Caegorie].[All]" dimensionUniqueName="[depense]" displayFolder="" count="0" memberValueDatatype="130" unbalanced="0"/>
    <cacheHierarchy uniqueName="[depense].[Description]" caption="Description" attribute="1" defaultMemberUniqueName="[depense].[Description].[All]" allUniqueName="[depense].[Description].[All]" dimensionUniqueName="[depense]" displayFolder="" count="0" memberValueDatatype="130" unbalanced="0"/>
    <cacheHierarchy uniqueName="[depense].[montant]" caption="montant" attribute="1" defaultMemberUniqueName="[depense].[montant].[All]" allUniqueName="[depense].[montant].[All]" dimensionUniqueName="[depense]" displayFolder="" count="0" memberValueDatatype="20" unbalanced="0"/>
    <cacheHierarchy uniqueName="[depense].[montant_CFA]" caption="montant_CFA" attribute="1" defaultMemberUniqueName="[depense].[montant_CFA].[All]" allUniqueName="[depense].[montant_CFA].[All]" dimensionUniqueName="[depense]" displayFolder="" count="0" memberValueDatatype="20" unbalanced="0"/>
    <cacheHierarchy uniqueName="[depense].[ID]" caption="ID" attribute="1" defaultMemberUniqueName="[depense].[ID].[All]" allUniqueName="[depense].[ID].[All]" dimensionUniqueName="[depense]" displayFolder="" count="0" memberValueDatatype="20" unbalanced="0"/>
    <cacheHierarchy uniqueName="[dime].[Date]" caption="Date" attribute="1" time="1" defaultMemberUniqueName="[dime].[Date].[All]" allUniqueName="[dime].[Date].[All]" dimensionUniqueName="[dime]" displayFolder="" count="0" memberValueDatatype="7" unbalanced="0"/>
    <cacheHierarchy uniqueName="[dime].[ID_revenue]" caption="ID_revenue" attribute="1" defaultMemberUniqueName="[dime].[ID_revenue].[All]" allUniqueName="[dime].[ID_revenue].[All]" dimensionUniqueName="[dime]" displayFolder="" count="0" memberValueDatatype="20" unbalanced="0"/>
    <cacheHierarchy uniqueName="[dime].[Description]" caption="Description" attribute="1" defaultMemberUniqueName="[dime].[Description].[All]" allUniqueName="[dime].[Description].[All]" dimensionUniqueName="[dime]" displayFolder="" count="0" memberValueDatatype="130" unbalanced="0"/>
    <cacheHierarchy uniqueName="[dime].[source]" caption="source" attribute="1" defaultMemberUniqueName="[dime].[source].[All]" allUniqueName="[dime].[source].[All]" dimensionUniqueName="[dime]" displayFolder="" count="0" memberValueDatatype="130" unbalanced="0"/>
    <cacheHierarchy uniqueName="[dime].[montant]" caption="montant" attribute="1" defaultMemberUniqueName="[dime].[montant].[All]" allUniqueName="[dime].[montant].[All]" dimensionUniqueName="[dime]" displayFolder="" count="0" memberValueDatatype="5" unbalanced="0"/>
    <cacheHierarchy uniqueName="[Epargne].[ID]" caption="ID" attribute="1" defaultMemberUniqueName="[Epargne].[ID].[All]" allUniqueName="[Epargne].[ID].[All]" dimensionUniqueName="[Epargne]" displayFolder="" count="0" memberValueDatatype="20" unbalanced="0"/>
    <cacheHierarchy uniqueName="[Epargne].[date]" caption="date" attribute="1" time="1" defaultMemberUniqueName="[Epargne].[date].[All]" allUniqueName="[Epargne].[date].[All]" dimensionUniqueName="[Epargne]" displayFolder="" count="0" memberValueDatatype="7" unbalanced="0"/>
    <cacheHierarchy uniqueName="[Epargne].[source]" caption="source" attribute="1" defaultMemberUniqueName="[Epargne].[source].[All]" allUniqueName="[Epargne].[source].[All]" dimensionUniqueName="[Epargne]" displayFolder="" count="0" memberValueDatatype="130" unbalanced="0"/>
    <cacheHierarchy uniqueName="[Epargne].[Description]" caption="Description" attribute="1" defaultMemberUniqueName="[Epargne].[Description].[All]" allUniqueName="[Epargne].[Description].[All]" dimensionUniqueName="[Epargne]" displayFolder="" count="0" memberValueDatatype="130" unbalanced="0"/>
    <cacheHierarchy uniqueName="[Epargne].[montant]" caption="montant" attribute="1" defaultMemberUniqueName="[Epargne].[montant].[All]" allUniqueName="[Epargne].[montant].[All]" dimensionUniqueName="[Epargne]" displayFolder="" count="0" memberValueDatatype="5" unbalanced="0"/>
    <cacheHierarchy uniqueName="[Epargne].[montant_CFA]" caption="montant_CFA" attribute="1" defaultMemberUniqueName="[Epargne].[montant_CFA].[All]" allUniqueName="[Epargne].[montant_CFA].[All]" dimensionUniqueName="[Epargne]" displayFolder="" count="0" memberValueDatatype="5" unbalanced="0"/>
    <cacheHierarchy uniqueName="[maison].[Colonne1]" caption="Colonne1" attribute="1" defaultMemberUniqueName="[maison].[Colonne1].[All]" allUniqueName="[maison].[Colonne1].[All]" dimensionUniqueName="[maison]" displayFolder="" count="0" memberValueDatatype="130" unbalanced="0"/>
    <cacheHierarchy uniqueName="[maison].[Colonne2]" caption="Colonne2" attribute="1" defaultMemberUniqueName="[maison].[Colonne2].[All]" allUniqueName="[maison].[Colonne2].[All]" dimensionUniqueName="[maison]" displayFolder="" count="0" memberValueDatatype="20" unbalanced="0"/>
    <cacheHierarchy uniqueName="[maison].[Colonne3]" caption="Colonne3" attribute="1" defaultMemberUniqueName="[maison].[Colonne3].[All]" allUniqueName="[maison].[Colonne3].[All]" dimensionUniqueName="[maison]" displayFolder="" count="0" memberValueDatatype="20" unbalanced="0"/>
    <cacheHierarchy uniqueName="[maison].[Colonne4]" caption="Colonne4" attribute="1" defaultMemberUniqueName="[maison].[Colonne4].[All]" allUniqueName="[maison].[Colonne4].[All]" dimensionUniqueName="[maison]" displayFolder="" count="0" memberValueDatatype="20" unbalanced="0"/>
    <cacheHierarchy uniqueName="[maison].[Colonne5]" caption="Colonne5" attribute="1" defaultMemberUniqueName="[maison].[Colonne5].[All]" allUniqueName="[maison].[Colonne5].[All]" dimensionUniqueName="[maison]" displayFolder="" count="0" memberValueDatatype="20" unbalanced="0"/>
    <cacheHierarchy uniqueName="[maison].[Colonne6]" caption="Colonne6" attribute="1" defaultMemberUniqueName="[maison].[Colonne6].[All]" allUniqueName="[maison].[Colonne6].[All]" dimensionUniqueName="[maison]" displayFolder="" count="0" memberValueDatatype="20" unbalanced="0"/>
    <cacheHierarchy uniqueName="[maison].[Colonne7]" caption="Colonne7" attribute="1" defaultMemberUniqueName="[maison].[Colonne7].[All]" allUniqueName="[maison].[Colonne7].[All]" dimensionUniqueName="[maison]" displayFolder="" count="0" memberValueDatatype="20" unbalanced="0"/>
    <cacheHierarchy uniqueName="[maison].[Colonne8]" caption="Colonne8" attribute="1" defaultMemberUniqueName="[maison].[Colonne8].[All]" allUniqueName="[maison].[Colonne8].[All]" dimensionUniqueName="[maison]" displayFolder="" count="0" memberValueDatatype="20" unbalanced="0"/>
    <cacheHierarchy uniqueName="[maison].[Colonne9]" caption="Colonne9" attribute="1" defaultMemberUniqueName="[maison].[Colonne9].[All]" allUniqueName="[maison].[Colonne9].[All]" dimensionUniqueName="[maison]" displayFolder="" count="0" memberValueDatatype="20" unbalanced="0"/>
    <cacheHierarchy uniqueName="[maison].[Colonne10]" caption="Colonne10" attribute="1" defaultMemberUniqueName="[maison].[Colonne10].[All]" allUniqueName="[maison].[Colonne10].[All]" dimensionUniqueName="[maison]" displayFolder="" count="0" memberValueDatatype="20" unbalanced="0"/>
    <cacheHierarchy uniqueName="[maison].[Colonne11]" caption="Colonne11" attribute="1" defaultMemberUniqueName="[maison].[Colonne11].[All]" allUniqueName="[maison].[Colonne11].[All]" dimensionUniqueName="[maison]" displayFolder="" count="0" memberValueDatatype="20" unbalanced="0"/>
    <cacheHierarchy uniqueName="[maison].[Colonne12]" caption="Colonne12" attribute="1" defaultMemberUniqueName="[maison].[Colonne12].[All]" allUniqueName="[maison].[Colonne12].[All]" dimensionUniqueName="[maison]" displayFolder="" count="0" memberValueDatatype="20" unbalanced="0"/>
    <cacheHierarchy uniqueName="[maison].[Colonne13]" caption="Colonne13" attribute="1" defaultMemberUniqueName="[maison].[Colonne13].[All]" allUniqueName="[maison].[Colonne13].[All]" dimensionUniqueName="[maison]" displayFolder="" count="0" memberValueDatatype="20" unbalanced="0"/>
    <cacheHierarchy uniqueName="[maison].[Colonne14]" caption="Colonne14" attribute="1" defaultMemberUniqueName="[maison].[Colonne14].[All]" allUniqueName="[maison].[Colonne14].[All]" dimensionUniqueName="[maison]" displayFolder="" count="0" memberValueDatatype="20" unbalanced="0"/>
    <cacheHierarchy uniqueName="[nourriture].[Colonne1]" caption="Colonne1" attribute="1" defaultMemberUniqueName="[nourriture].[Colonne1].[All]" allUniqueName="[nourriture].[Colonne1].[All]" dimensionUniqueName="[nourriture]" displayFolder="" count="0" memberValueDatatype="130" unbalanced="0"/>
    <cacheHierarchy uniqueName="[nourriture].[Colonne2]" caption="Colonne2" attribute="1" defaultMemberUniqueName="[nourriture].[Colonne2].[All]" allUniqueName="[nourriture].[Colonne2].[All]" dimensionUniqueName="[nourriture]" displayFolder="" count="0" memberValueDatatype="20" unbalanced="0"/>
    <cacheHierarchy uniqueName="[nourriture].[Colonne3]" caption="Colonne3" attribute="1" defaultMemberUniqueName="[nourriture].[Colonne3].[All]" allUniqueName="[nourriture].[Colonne3].[All]" dimensionUniqueName="[nourriture]" displayFolder="" count="0" memberValueDatatype="20" unbalanced="0"/>
    <cacheHierarchy uniqueName="[nourriture].[Colonne4]" caption="Colonne4" attribute="1" defaultMemberUniqueName="[nourriture].[Colonne4].[All]" allUniqueName="[nourriture].[Colonne4].[All]" dimensionUniqueName="[nourriture]" displayFolder="" count="0" memberValueDatatype="20" unbalanced="0"/>
    <cacheHierarchy uniqueName="[nourriture].[Colonne5]" caption="Colonne5" attribute="1" defaultMemberUniqueName="[nourriture].[Colonne5].[All]" allUniqueName="[nourriture].[Colonne5].[All]" dimensionUniqueName="[nourriture]" displayFolder="" count="0" memberValueDatatype="20" unbalanced="0"/>
    <cacheHierarchy uniqueName="[nourriture].[Colonne6]" caption="Colonne6" attribute="1" defaultMemberUniqueName="[nourriture].[Colonne6].[All]" allUniqueName="[nourriture].[Colonne6].[All]" dimensionUniqueName="[nourriture]" displayFolder="" count="0" memberValueDatatype="20" unbalanced="0"/>
    <cacheHierarchy uniqueName="[nourriture].[Colonne7]" caption="Colonne7" attribute="1" defaultMemberUniqueName="[nourriture].[Colonne7].[All]" allUniqueName="[nourriture].[Colonne7].[All]" dimensionUniqueName="[nourriture]" displayFolder="" count="0" memberValueDatatype="20" unbalanced="0"/>
    <cacheHierarchy uniqueName="[nourriture].[Colonne8]" caption="Colonne8" attribute="1" defaultMemberUniqueName="[nourriture].[Colonne8].[All]" allUniqueName="[nourriture].[Colonne8].[All]" dimensionUniqueName="[nourriture]" displayFolder="" count="0" memberValueDatatype="20" unbalanced="0"/>
    <cacheHierarchy uniqueName="[nourriture].[Colonne9]" caption="Colonne9" attribute="1" defaultMemberUniqueName="[nourriture].[Colonne9].[All]" allUniqueName="[nourriture].[Colonne9].[All]" dimensionUniqueName="[nourriture]" displayFolder="" count="0" memberValueDatatype="20" unbalanced="0"/>
    <cacheHierarchy uniqueName="[nourriture].[Colonne10]" caption="Colonne10" attribute="1" defaultMemberUniqueName="[nourriture].[Colonne10].[All]" allUniqueName="[nourriture].[Colonne10].[All]" dimensionUniqueName="[nourriture]" displayFolder="" count="0" memberValueDatatype="20" unbalanced="0"/>
    <cacheHierarchy uniqueName="[nourriture].[Colonne11]" caption="Colonne11" attribute="1" defaultMemberUniqueName="[nourriture].[Colonne11].[All]" allUniqueName="[nourriture].[Colonne11].[All]" dimensionUniqueName="[nourriture]" displayFolder="" count="0" memberValueDatatype="20" unbalanced="0"/>
    <cacheHierarchy uniqueName="[nourriture].[Colonne12]" caption="Colonne12" attribute="1" defaultMemberUniqueName="[nourriture].[Colonne12].[All]" allUniqueName="[nourriture].[Colonne12].[All]" dimensionUniqueName="[nourriture]" displayFolder="" count="0" memberValueDatatype="20" unbalanced="0"/>
    <cacheHierarchy uniqueName="[nourriture].[Colonne13]" caption="Colonne13" attribute="1" defaultMemberUniqueName="[nourriture].[Colonne13].[All]" allUniqueName="[nourriture].[Colonne13].[All]" dimensionUniqueName="[nourriture]" displayFolder="" count="0" memberValueDatatype="20" unbalanced="0"/>
    <cacheHierarchy uniqueName="[nourriture].[Colonne14]" caption="Colonne14" attribute="1" defaultMemberUniqueName="[nourriture].[Colonne14].[All]" allUniqueName="[nourriture].[Colonne14].[All]" dimensionUniqueName="[nourriture]" displayFolder="" count="0" memberValueDatatype="20" unbalanced="0"/>
    <cacheHierarchy uniqueName="[revenue].[Elements]" caption="Elements" attribute="1" defaultMemberUniqueName="[revenue].[Elements].[All]" allUniqueName="[revenue].[Elements].[All]" dimensionUniqueName="[revenue]" displayFolder="" count="0" memberValueDatatype="130" unbalanced="0"/>
    <cacheHierarchy uniqueName="[revenue].[Janv.]" caption="Janv." attribute="1" defaultMemberUniqueName="[revenue].[Janv.].[All]" allUniqueName="[revenue].[Janv.].[All]" dimensionUniqueName="[revenue]" displayFolder="" count="0" memberValueDatatype="20" unbalanced="0"/>
    <cacheHierarchy uniqueName="[revenue].[Fev.]" caption="Fev." attribute="1" defaultMemberUniqueName="[revenue].[Fev.].[All]" allUniqueName="[revenue].[Fev.].[All]" dimensionUniqueName="[revenue]" displayFolder="" count="0" memberValueDatatype="20" unbalanced="0"/>
    <cacheHierarchy uniqueName="[revenue].[Mars.]" caption="Mars." attribute="1" defaultMemberUniqueName="[revenue].[Mars.].[All]" allUniqueName="[revenue].[Mars.].[All]" dimensionUniqueName="[revenue]" displayFolder="" count="0" memberValueDatatype="20" unbalanced="0"/>
    <cacheHierarchy uniqueName="[revenue].[Avril]" caption="Avril" attribute="1" defaultMemberUniqueName="[revenue].[Avril].[All]" allUniqueName="[revenue].[Avril].[All]" dimensionUniqueName="[revenue]" displayFolder="" count="0" memberValueDatatype="20" unbalanced="0"/>
    <cacheHierarchy uniqueName="[revenue].[Mai]" caption="Mai" attribute="1" defaultMemberUniqueName="[revenue].[Mai].[All]" allUniqueName="[revenue].[Mai].[All]" dimensionUniqueName="[revenue]" displayFolder="" count="0" memberValueDatatype="20" unbalanced="0"/>
    <cacheHierarchy uniqueName="[revenue].[Juin]" caption="Juin" attribute="1" defaultMemberUniqueName="[revenue].[Juin].[All]" allUniqueName="[revenue].[Juin].[All]" dimensionUniqueName="[revenue]" displayFolder="" count="0" memberValueDatatype="20" unbalanced="0"/>
    <cacheHierarchy uniqueName="[revenue].[Juillet]" caption="Juillet" attribute="1" defaultMemberUniqueName="[revenue].[Juillet].[All]" allUniqueName="[revenue].[Juillet].[All]" dimensionUniqueName="[revenue]" displayFolder="" count="0" memberValueDatatype="20" unbalanced="0"/>
    <cacheHierarchy uniqueName="[revenue].[Aout]" caption="Aout" attribute="1" defaultMemberUniqueName="[revenue].[Aout].[All]" allUniqueName="[revenue].[Aout].[All]" dimensionUniqueName="[revenue]" displayFolder="" count="0" memberValueDatatype="20" unbalanced="0"/>
    <cacheHierarchy uniqueName="[revenue].[Sept.]" caption="Sept." attribute="1" defaultMemberUniqueName="[revenue].[Sept.].[All]" allUniqueName="[revenue].[Sept.].[All]" dimensionUniqueName="[revenue]" displayFolder="" count="0" memberValueDatatype="20" unbalanced="0"/>
    <cacheHierarchy uniqueName="[revenue].[Oct.]" caption="Oct." attribute="1" defaultMemberUniqueName="[revenue].[Oct.].[All]" allUniqueName="[revenue].[Oct.].[All]" dimensionUniqueName="[revenue]" displayFolder="" count="0" memberValueDatatype="20" unbalanced="0"/>
    <cacheHierarchy uniqueName="[revenue].[Nov.]" caption="Nov." attribute="1" defaultMemberUniqueName="[revenue].[Nov.].[All]" allUniqueName="[revenue].[Nov.].[All]" dimensionUniqueName="[revenue]" displayFolder="" count="0" memberValueDatatype="20" unbalanced="0"/>
    <cacheHierarchy uniqueName="[revenue].[Dec]" caption="Dec" attribute="1" defaultMemberUniqueName="[revenue].[Dec].[All]" allUniqueName="[revenue].[Dec].[All]" dimensionUniqueName="[revenue]" displayFolder="" count="0" memberValueDatatype="20" unbalanced="0"/>
    <cacheHierarchy uniqueName="[revenue].[Year to Date]" caption="Year to Date" attribute="1" defaultMemberUniqueName="[revenue].[Year to Date].[All]" allUniqueName="[revenue].[Year to Date].[All]" dimensionUniqueName="[revenue]" displayFolder="" count="0" memberValueDatatype="20" unbalanced="0"/>
    <cacheHierarchy uniqueName="[revenuXYZ].[Date]" caption="Date" attribute="1" time="1" defaultMemberUniqueName="[revenuXYZ].[Date].[All]" allUniqueName="[revenuXYZ].[Date].[All]" dimensionUniqueName="[revenuXYZ]" displayFolder="" count="0" memberValueDatatype="7" unbalanced="0"/>
    <cacheHierarchy uniqueName="[revenuXYZ].[mois]" caption="mois" attribute="1" defaultMemberUniqueName="[revenuXYZ].[mois].[All]" allUniqueName="[revenuXYZ].[mois].[All]" dimensionUniqueName="[revenuXYZ]" displayFolder="" count="0" memberValueDatatype="20" unbalanced="0"/>
    <cacheHierarchy uniqueName="[revenuXYZ].[categorie]" caption="categorie" attribute="1" defaultMemberUniqueName="[revenuXYZ].[categorie].[All]" allUniqueName="[revenuXYZ].[categorie].[All]" dimensionUniqueName="[revenuXYZ]" displayFolder="" count="0" memberValueDatatype="130" unbalanced="0"/>
    <cacheHierarchy uniqueName="[revenuXYZ].[Description]" caption="Description" attribute="1" defaultMemberUniqueName="[revenuXYZ].[Description].[All]" allUniqueName="[revenuXYZ].[Description].[All]" dimensionUniqueName="[revenuXYZ]" displayFolder="" count="0" memberValueDatatype="130" unbalanced="0"/>
    <cacheHierarchy uniqueName="[revenuXYZ].[montant]" caption="montant" attribute="1" defaultMemberUniqueName="[revenuXYZ].[montant].[All]" allUniqueName="[revenuXYZ].[montant].[All]" dimensionUniqueName="[revenuXYZ]" displayFolder="" count="0" memberValueDatatype="20" unbalanced="0"/>
    <cacheHierarchy uniqueName="[revenuXYZ].[montant_CFA]" caption="montant_CFA" attribute="1" defaultMemberUniqueName="[revenuXYZ].[montant_CFA].[All]" allUniqueName="[revenuXYZ].[montant_CFA].[All]" dimensionUniqueName="[revenuXYZ]" displayFolder="" count="0" memberValueDatatype="5" unbalanced="0"/>
    <cacheHierarchy uniqueName="[revenuXYZ].[source]" caption="source" attribute="1" defaultMemberUniqueName="[revenuXYZ].[source].[All]" allUniqueName="[revenuXYZ].[source].[All]" dimensionUniqueName="[revenuXYZ]" displayFolder="" count="2" memberValueDatatype="130" unbalanced="0">
      <fieldsUsage count="2">
        <fieldUsage x="-1"/>
        <fieldUsage x="1"/>
      </fieldsUsage>
    </cacheHierarchy>
    <cacheHierarchy uniqueName="[revenuXYZ].[ID]" caption="ID" attribute="1" defaultMemberUniqueName="[revenuXYZ].[ID].[All]" allUniqueName="[revenuXYZ].[ID].[All]" dimensionUniqueName="[revenuXYZ]" displayFolder="" count="0" memberValueDatatype="20" unbalanced="0"/>
    <cacheHierarchy uniqueName="[transport].[Colonne1]" caption="Colonne1" attribute="1" defaultMemberUniqueName="[transport].[Colonne1].[All]" allUniqueName="[transport].[Colonne1].[All]" dimensionUniqueName="[transport]" displayFolder="" count="0" memberValueDatatype="130" unbalanced="0"/>
    <cacheHierarchy uniqueName="[transport].[Colonne2]" caption="Colonne2" attribute="1" defaultMemberUniqueName="[transport].[Colonne2].[All]" allUniqueName="[transport].[Colonne2].[All]" dimensionUniqueName="[transport]" displayFolder="" count="0" memberValueDatatype="20" unbalanced="0"/>
    <cacheHierarchy uniqueName="[transport].[Colonne3]" caption="Colonne3" attribute="1" defaultMemberUniqueName="[transport].[Colonne3].[All]" allUniqueName="[transport].[Colonne3].[All]" dimensionUniqueName="[transport]" displayFolder="" count="0" memberValueDatatype="20" unbalanced="0"/>
    <cacheHierarchy uniqueName="[transport].[Colonne4]" caption="Colonne4" attribute="1" defaultMemberUniqueName="[transport].[Colonne4].[All]" allUniqueName="[transport].[Colonne4].[All]" dimensionUniqueName="[transport]" displayFolder="" count="0" memberValueDatatype="20" unbalanced="0"/>
    <cacheHierarchy uniqueName="[transport].[Colonne5]" caption="Colonne5" attribute="1" defaultMemberUniqueName="[transport].[Colonne5].[All]" allUniqueName="[transport].[Colonne5].[All]" dimensionUniqueName="[transport]" displayFolder="" count="0" memberValueDatatype="20" unbalanced="0"/>
    <cacheHierarchy uniqueName="[transport].[Colonne6]" caption="Colonne6" attribute="1" defaultMemberUniqueName="[transport].[Colonne6].[All]" allUniqueName="[transport].[Colonne6].[All]" dimensionUniqueName="[transport]" displayFolder="" count="0" memberValueDatatype="20" unbalanced="0"/>
    <cacheHierarchy uniqueName="[transport].[Colonne7]" caption="Colonne7" attribute="1" defaultMemberUniqueName="[transport].[Colonne7].[All]" allUniqueName="[transport].[Colonne7].[All]" dimensionUniqueName="[transport]" displayFolder="" count="0" memberValueDatatype="20" unbalanced="0"/>
    <cacheHierarchy uniqueName="[transport].[Colonne8]" caption="Colonne8" attribute="1" defaultMemberUniqueName="[transport].[Colonne8].[All]" allUniqueName="[transport].[Colonne8].[All]" dimensionUniqueName="[transport]" displayFolder="" count="0" memberValueDatatype="20" unbalanced="0"/>
    <cacheHierarchy uniqueName="[transport].[Colonne9]" caption="Colonne9" attribute="1" defaultMemberUniqueName="[transport].[Colonne9].[All]" allUniqueName="[transport].[Colonne9].[All]" dimensionUniqueName="[transport]" displayFolder="" count="0" memberValueDatatype="20" unbalanced="0"/>
    <cacheHierarchy uniqueName="[transport].[Colonne10]" caption="Colonne10" attribute="1" defaultMemberUniqueName="[transport].[Colonne10].[All]" allUniqueName="[transport].[Colonne10].[All]" dimensionUniqueName="[transport]" displayFolder="" count="0" memberValueDatatype="20" unbalanced="0"/>
    <cacheHierarchy uniqueName="[transport].[Colonne11]" caption="Colonne11" attribute="1" defaultMemberUniqueName="[transport].[Colonne11].[All]" allUniqueName="[transport].[Colonne11].[All]" dimensionUniqueName="[transport]" displayFolder="" count="0" memberValueDatatype="20" unbalanced="0"/>
    <cacheHierarchy uniqueName="[transport].[Colonne12]" caption="Colonne12" attribute="1" defaultMemberUniqueName="[transport].[Colonne12].[All]" allUniqueName="[transport].[Colonne12].[All]" dimensionUniqueName="[transport]" displayFolder="" count="0" memberValueDatatype="20" unbalanced="0"/>
    <cacheHierarchy uniqueName="[transport].[Colonne13]" caption="Colonne13" attribute="1" defaultMemberUniqueName="[transport].[Colonne13].[All]" allUniqueName="[transport].[Colonne13].[All]" dimensionUniqueName="[transport]" displayFolder="" count="0" memberValueDatatype="20" unbalanced="0"/>
    <cacheHierarchy uniqueName="[transport].[Colonne14]" caption="Colonne14" attribute="1" defaultMemberUniqueName="[transport].[Colonne14].[All]" allUniqueName="[transport].[Colonne14].[All]" dimensionUniqueName="[transport]" displayFolder="" count="0" memberValueDatatype="20" unbalanced="0"/>
    <cacheHierarchy uniqueName="[Date].[Date (Month Index)]" caption="Date (Month Index)" attribute="1" defaultMemberUniqueName="[Date].[Date (Month Index)].[All]" allUniqueName="[Date].[Date (Month Index)].[All]" dimensionUniqueName="[Date]" displayFolder="" count="0" memberValueDatatype="20" unbalanced="0" hidden="1"/>
    <cacheHierarchy uniqueName="[Measures].[Sum of montant]" caption="Sum of montant" measure="1" displayFolder="" measureGroup="revenuXYZ" count="0">
      <extLst>
        <ext xmlns:x15="http://schemas.microsoft.com/office/spreadsheetml/2010/11/main" uri="{B97F6D7D-B522-45F9-BDA1-12C45D357490}">
          <x15:cacheHierarchy aggregatedColumn="72"/>
        </ext>
      </extLst>
    </cacheHierarchy>
    <cacheHierarchy uniqueName="[Measures].[Sum of montant 2]" caption="Sum of montant 2" measure="1" displayFolder="" measureGroup="depense" count="0">
      <extLst>
        <ext xmlns:x15="http://schemas.microsoft.com/office/spreadsheetml/2010/11/main" uri="{B97F6D7D-B522-45F9-BDA1-12C45D357490}">
          <x15:cacheHierarchy aggregatedColumn="12"/>
        </ext>
      </extLst>
    </cacheHierarchy>
    <cacheHierarchy uniqueName="[Measures].[Average of montant]" caption="Average of montant" measure="1" displayFolder="" measureGroup="depense" count="0">
      <extLst>
        <ext xmlns:x15="http://schemas.microsoft.com/office/spreadsheetml/2010/11/main" uri="{B97F6D7D-B522-45F9-BDA1-12C45D357490}">
          <x15:cacheHierarchy aggregatedColumn="12"/>
        </ext>
      </extLst>
    </cacheHierarchy>
    <cacheHierarchy uniqueName="[Measures].[reste]" caption="reste" measure="1" displayFolder="" measureGroup="revenue" count="0"/>
    <cacheHierarchy uniqueName="[Measures].[TotalRevenue]" caption="TotalRevenue" measure="1" displayFolder="" measureGroup="revenuXYZ" count="0" oneField="1">
      <fieldsUsage count="1">
        <fieldUsage x="0"/>
      </fieldsUsage>
    </cacheHierarchy>
    <cacheHierarchy uniqueName="[Measures].[TotalDepense]" caption="TotalDepense" measure="1" displayFolder="" measureGroup="depense" count="0"/>
    <cacheHierarchy uniqueName="[Measures].[TotalReste]" caption="TotalReste" measure="1" displayFolder="" measureGroup="depense" count="0"/>
    <cacheHierarchy uniqueName="[Measures].[10% du Revenu]" caption="10% du Revenu" measure="1" displayFolder="" measureGroup="revenue" count="0"/>
    <cacheHierarchy uniqueName="[Measures].[20% du Revenu]" caption="20% du Revenu" measure="1" displayFolder="" measureGroup="revenue" count="0"/>
    <cacheHierarchy uniqueName="[Measures].[Epargne]" caption="Epargne" measure="1" displayFolder="" measureGroup="revenue" count="0"/>
    <cacheHierarchy uniqueName="[Measures].[Reste Depensable]" caption="Reste Depensable" measure="1" displayFolder="" measureGroup="revenuXYZ" count="0"/>
    <cacheHierarchy uniqueName="[Measures].[dime]" caption="dime" measure="1" displayFolder="" measureGroup="revenuXYZ" count="0"/>
    <cacheHierarchy uniqueName="[Measures].[__XL_Count revenue]" caption="__XL_Count revenue" measure="1" displayFolder="" measureGroup="revenue" count="0" hidden="1"/>
    <cacheHierarchy uniqueName="[Measures].[__XL_Count maison]" caption="__XL_Count maison" measure="1" displayFolder="" measureGroup="maison" count="0" hidden="1"/>
    <cacheHierarchy uniqueName="[Measures].[__XL_Count nourriture]" caption="__XL_Count nourriture" measure="1" displayFolder="" measureGroup="nourriture" count="0" hidden="1"/>
    <cacheHierarchy uniqueName="[Measures].[__XL_Count transport]" caption="__XL_Count transport" measure="1" displayFolder="" measureGroup="transport" count="0" hidden="1"/>
    <cacheHierarchy uniqueName="[Measures].[__XL_Count revenuXYZ]" caption="__XL_Count revenuXYZ" measure="1" displayFolder="" measureGroup="revenuXYZ" count="0" hidden="1"/>
    <cacheHierarchy uniqueName="[Measures].[__XL_Count depense]" caption="__XL_Count depense" measure="1" displayFolder="" measureGroup="depense" count="0" hidden="1"/>
    <cacheHierarchy uniqueName="[Measures].[__XL_Count Table14]" caption="__XL_Count Table14" measure="1" displayFolder="" measureGroup="Date" count="0" hidden="1"/>
    <cacheHierarchy uniqueName="[Measures].[__XL_Count Epargne]" caption="__XL_Count Epargne" measure="1" displayFolder="" measureGroup="Epargne" count="0" hidden="1"/>
    <cacheHierarchy uniqueName="[Measures].[__XL_Count dime]" caption="__XL_Count dime" measure="1" displayFolder="" measureGroup="dime" count="0" hidden="1"/>
    <cacheHierarchy uniqueName="[Measures].[__No measures defined]" caption="__No measures defined" measure="1" displayFolder="" count="0" hidden="1"/>
  </cacheHierarchies>
  <kpis count="0"/>
  <dimensions count="10">
    <dimension name="Date" uniqueName="[Date]" caption="Date"/>
    <dimension name="depense" uniqueName="[depense]" caption="depense"/>
    <dimension name="dime" uniqueName="[dime]" caption="dime"/>
    <dimension name="Epargne" uniqueName="[Epargne]" caption="Epargne"/>
    <dimension name="maison" uniqueName="[maison]" caption="maison"/>
    <dimension measure="1" name="Measures" uniqueName="[Measures]" caption="Measures"/>
    <dimension name="nourriture" uniqueName="[nourriture]" caption="nourriture"/>
    <dimension name="revenue" uniqueName="[revenue]" caption="revenue"/>
    <dimension name="revenuXYZ" uniqueName="[revenuXYZ]" caption="revenuXYZ"/>
    <dimension name="transport" uniqueName="[transport]" caption="transport"/>
  </dimensions>
  <measureGroups count="9">
    <measureGroup name="Date" caption="Date"/>
    <measureGroup name="depense" caption="depense"/>
    <measureGroup name="dime" caption="dime"/>
    <measureGroup name="Epargne" caption="Epargne"/>
    <measureGroup name="maison" caption="maison"/>
    <measureGroup name="nourriture" caption="nourriture"/>
    <measureGroup name="revenue" caption="revenue"/>
    <measureGroup name="revenuXYZ" caption="revenuXYZ"/>
    <measureGroup name="transport" caption="transport"/>
  </measureGroups>
  <maps count="13">
    <map measureGroup="0" dimension="0"/>
    <map measureGroup="1" dimension="0"/>
    <map measureGroup="1" dimension="1"/>
    <map measureGroup="2" dimension="0"/>
    <map measureGroup="2" dimension="2"/>
    <map measureGroup="3" dimension="0"/>
    <map measureGroup="3" dimension="3"/>
    <map measureGroup="4" dimension="4"/>
    <map measureGroup="5" dimension="6"/>
    <map measureGroup="6" dimension="7"/>
    <map measureGroup="7" dimension="0"/>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504.705684953704" backgroundQuery="1" createdVersion="8" refreshedVersion="8" minRefreshableVersion="3" recordCount="0" supportSubquery="1" supportAdvancedDrill="1" xr:uid="{018B79A1-BD91-4750-A434-0006B054BCC9}">
  <cacheSource type="external" connectionId="1"/>
  <cacheFields count="9">
    <cacheField name="[Date].[Date (Month)].[Date (Month)]" caption="Date (Month)" numFmtId="0" hierarchy="3" level="1">
      <sharedItems count="12">
        <s v="janv"/>
        <s v="févr"/>
        <s v="mars"/>
        <s v="avr"/>
        <s v="mai"/>
        <s v="juin"/>
        <s v="juil"/>
        <s v="août"/>
        <s v="sept"/>
        <s v="oct"/>
        <s v="nov"/>
        <s v="déc"/>
      </sharedItems>
    </cacheField>
    <cacheField name="[Measures].[TotalRevenue]" caption="TotalRevenue" numFmtId="0" hierarchy="95" level="32767"/>
    <cacheField name="[Measures].[10% du Revenu]" caption="10% du Revenu" numFmtId="0" hierarchy="98" level="32767"/>
    <cacheField name="[Measures].[20% du Revenu]" caption="20% du Revenu" numFmtId="0" hierarchy="99" level="32767"/>
    <cacheField name="[Measures].[TotalDepense]" caption="TotalDepense" numFmtId="0" hierarchy="96" level="32767"/>
    <cacheField name="[Measures].[reste]" caption="reste" numFmtId="0" hierarchy="94" level="32767"/>
    <cacheField name="[Measures].[Epargne]" caption="Epargne" numFmtId="0" hierarchy="100" level="32767"/>
    <cacheField name="[Measures].[Reste Depensable]" caption="Reste Depensable" numFmtId="0" hierarchy="101" level="32767"/>
    <cacheField name="[Measures].[dime]" caption="dime" numFmtId="0" hierarchy="102" level="32767"/>
  </cacheFields>
  <cacheHierarchies count="113">
    <cacheHierarchy uniqueName="[Date].[Date]" caption="Date" attribute="1" time="1" defaultMemberUniqueName="[Date].[Date].[All]" allUniqueName="[Date].[Date].[All]" dimensionUniqueName="[Date]" displayFolder="" count="0" memberValueDatatype="7" unbalanced="0"/>
    <cacheHierarchy uniqueName="[Date].[Date (Year)]" caption="Date (Year)" attribute="1" defaultMemberUniqueName="[Date].[Date (Year)].[All]" allUniqueName="[Date].[Date (Year)].[All]" dimensionUniqueName="[Date]" displayFolder="" count="0" memberValueDatatype="130" unbalanced="0"/>
    <cacheHierarchy uniqueName="[Date].[Date (Quarter)]" caption="Date (Quarter)" attribute="1" defaultMemberUniqueName="[Date].[Date (Quarter)].[All]" allUniqueName="[Date].[Date (Quarter)].[All]" dimensionUniqueName="[Date]" displayFolder="" count="0" memberValueDatatype="130" unbalanced="0"/>
    <cacheHierarchy uniqueName="[Date].[Date (Month)]" caption="Date (Month)" attribute="1" defaultMemberUniqueName="[Date].[Date (Month)].[All]" allUniqueName="[Date].[Date (Month)].[All]" dimensionUniqueName="[Date]" displayFolder="" count="2" memberValueDatatype="130" unbalanced="0">
      <fieldsUsage count="2">
        <fieldUsage x="-1"/>
        <fieldUsage x="0"/>
      </fieldsUsage>
    </cacheHierarchy>
    <cacheHierarchy uniqueName="[Date].[week]" caption="week" attribute="1" defaultMemberUniqueName="[Date].[week].[All]" allUniqueName="[Date].[week].[All]" dimensionUniqueName="[Date]" displayFolder="" count="0" memberValueDatatype="130" unbalanced="0"/>
    <cacheHierarchy uniqueName="[Date].[Mois]" caption="Mois" attribute="1" defaultMemberUniqueName="[Date].[Mois].[All]" allUniqueName="[Date].[Mois].[All]" dimensionUniqueName="[Date]" displayFolder="" count="0" memberValueDatatype="20" unbalanced="0"/>
    <cacheHierarchy uniqueName="[Date].[Nun_Month]" caption="Nun_Month" attribute="1" defaultMemberUniqueName="[Date].[Nun_Month].[All]" allUniqueName="[Date].[Nun_Month].[All]" dimensionUniqueName="[Date]" displayFolder="" count="0" memberValueDatatype="130" unbalanced="0"/>
    <cacheHierarchy uniqueName="[depense].[Date]" caption="Date" attribute="1" time="1" defaultMemberUniqueName="[depense].[Date].[All]" allUniqueName="[depense].[Date].[All]" dimensionUniqueName="[depense]" displayFolder="" count="0" memberValueDatatype="7" unbalanced="0"/>
    <cacheHierarchy uniqueName="[depense].[mois]" caption="mois" attribute="1" defaultMemberUniqueName="[depense].[mois].[All]" allUniqueName="[depense].[mois].[All]" dimensionUniqueName="[depense]" displayFolder="" count="0" memberValueDatatype="20" unbalanced="0"/>
    <cacheHierarchy uniqueName="[depense].[source]" caption="source" attribute="1" defaultMemberUniqueName="[depense].[source].[All]" allUniqueName="[depense].[source].[All]" dimensionUniqueName="[depense]" displayFolder="" count="0" memberValueDatatype="130" unbalanced="0"/>
    <cacheHierarchy uniqueName="[depense].[Caegorie]" caption="Caegorie" attribute="1" defaultMemberUniqueName="[depense].[Caegorie].[All]" allUniqueName="[depense].[Caegorie].[All]" dimensionUniqueName="[depense]" displayFolder="" count="0" memberValueDatatype="130" unbalanced="0"/>
    <cacheHierarchy uniqueName="[depense].[Description]" caption="Description" attribute="1" defaultMemberUniqueName="[depense].[Description].[All]" allUniqueName="[depense].[Description].[All]" dimensionUniqueName="[depense]" displayFolder="" count="0" memberValueDatatype="130" unbalanced="0"/>
    <cacheHierarchy uniqueName="[depense].[montant]" caption="montant" attribute="1" defaultMemberUniqueName="[depense].[montant].[All]" allUniqueName="[depense].[montant].[All]" dimensionUniqueName="[depense]" displayFolder="" count="0" memberValueDatatype="20" unbalanced="0"/>
    <cacheHierarchy uniqueName="[depense].[montant_CFA]" caption="montant_CFA" attribute="1" defaultMemberUniqueName="[depense].[montant_CFA].[All]" allUniqueName="[depense].[montant_CFA].[All]" dimensionUniqueName="[depense]" displayFolder="" count="0" memberValueDatatype="20" unbalanced="0"/>
    <cacheHierarchy uniqueName="[depense].[ID]" caption="ID" attribute="1" defaultMemberUniqueName="[depense].[ID].[All]" allUniqueName="[depense].[ID].[All]" dimensionUniqueName="[depense]" displayFolder="" count="0" memberValueDatatype="20" unbalanced="0"/>
    <cacheHierarchy uniqueName="[dime].[Date]" caption="Date" attribute="1" time="1" defaultMemberUniqueName="[dime].[Date].[All]" allUniqueName="[dime].[Date].[All]" dimensionUniqueName="[dime]" displayFolder="" count="0" memberValueDatatype="7" unbalanced="0"/>
    <cacheHierarchy uniqueName="[dime].[ID_revenue]" caption="ID_revenue" attribute="1" defaultMemberUniqueName="[dime].[ID_revenue].[All]" allUniqueName="[dime].[ID_revenue].[All]" dimensionUniqueName="[dime]" displayFolder="" count="0" memberValueDatatype="20" unbalanced="0"/>
    <cacheHierarchy uniqueName="[dime].[Description]" caption="Description" attribute="1" defaultMemberUniqueName="[dime].[Description].[All]" allUniqueName="[dime].[Description].[All]" dimensionUniqueName="[dime]" displayFolder="" count="0" memberValueDatatype="130" unbalanced="0"/>
    <cacheHierarchy uniqueName="[dime].[source]" caption="source" attribute="1" defaultMemberUniqueName="[dime].[source].[All]" allUniqueName="[dime].[source].[All]" dimensionUniqueName="[dime]" displayFolder="" count="0" memberValueDatatype="130" unbalanced="0"/>
    <cacheHierarchy uniqueName="[dime].[montant]" caption="montant" attribute="1" defaultMemberUniqueName="[dime].[montant].[All]" allUniqueName="[dime].[montant].[All]" dimensionUniqueName="[dime]" displayFolder="" count="0" memberValueDatatype="5" unbalanced="0"/>
    <cacheHierarchy uniqueName="[Epargne].[ID]" caption="ID" attribute="1" defaultMemberUniqueName="[Epargne].[ID].[All]" allUniqueName="[Epargne].[ID].[All]" dimensionUniqueName="[Epargne]" displayFolder="" count="0" memberValueDatatype="20" unbalanced="0"/>
    <cacheHierarchy uniqueName="[Epargne].[date]" caption="date" attribute="1" time="1" defaultMemberUniqueName="[Epargne].[date].[All]" allUniqueName="[Epargne].[date].[All]" dimensionUniqueName="[Epargne]" displayFolder="" count="0" memberValueDatatype="7" unbalanced="0"/>
    <cacheHierarchy uniqueName="[Epargne].[source]" caption="source" attribute="1" defaultMemberUniqueName="[Epargne].[source].[All]" allUniqueName="[Epargne].[source].[All]" dimensionUniqueName="[Epargne]" displayFolder="" count="0" memberValueDatatype="130" unbalanced="0"/>
    <cacheHierarchy uniqueName="[Epargne].[Description]" caption="Description" attribute="1" defaultMemberUniqueName="[Epargne].[Description].[All]" allUniqueName="[Epargne].[Description].[All]" dimensionUniqueName="[Epargne]" displayFolder="" count="0" memberValueDatatype="130" unbalanced="0"/>
    <cacheHierarchy uniqueName="[Epargne].[montant]" caption="montant" attribute="1" defaultMemberUniqueName="[Epargne].[montant].[All]" allUniqueName="[Epargne].[montant].[All]" dimensionUniqueName="[Epargne]" displayFolder="" count="0" memberValueDatatype="5" unbalanced="0"/>
    <cacheHierarchy uniqueName="[Epargne].[montant_CFA]" caption="montant_CFA" attribute="1" defaultMemberUniqueName="[Epargne].[montant_CFA].[All]" allUniqueName="[Epargne].[montant_CFA].[All]" dimensionUniqueName="[Epargne]" displayFolder="" count="0" memberValueDatatype="5" unbalanced="0"/>
    <cacheHierarchy uniqueName="[maison].[Colonne1]" caption="Colonne1" attribute="1" defaultMemberUniqueName="[maison].[Colonne1].[All]" allUniqueName="[maison].[Colonne1].[All]" dimensionUniqueName="[maison]" displayFolder="" count="0" memberValueDatatype="130" unbalanced="0"/>
    <cacheHierarchy uniqueName="[maison].[Colonne2]" caption="Colonne2" attribute="1" defaultMemberUniqueName="[maison].[Colonne2].[All]" allUniqueName="[maison].[Colonne2].[All]" dimensionUniqueName="[maison]" displayFolder="" count="0" memberValueDatatype="20" unbalanced="0"/>
    <cacheHierarchy uniqueName="[maison].[Colonne3]" caption="Colonne3" attribute="1" defaultMemberUniqueName="[maison].[Colonne3].[All]" allUniqueName="[maison].[Colonne3].[All]" dimensionUniqueName="[maison]" displayFolder="" count="0" memberValueDatatype="20" unbalanced="0"/>
    <cacheHierarchy uniqueName="[maison].[Colonne4]" caption="Colonne4" attribute="1" defaultMemberUniqueName="[maison].[Colonne4].[All]" allUniqueName="[maison].[Colonne4].[All]" dimensionUniqueName="[maison]" displayFolder="" count="0" memberValueDatatype="20" unbalanced="0"/>
    <cacheHierarchy uniqueName="[maison].[Colonne5]" caption="Colonne5" attribute="1" defaultMemberUniqueName="[maison].[Colonne5].[All]" allUniqueName="[maison].[Colonne5].[All]" dimensionUniqueName="[maison]" displayFolder="" count="0" memberValueDatatype="20" unbalanced="0"/>
    <cacheHierarchy uniqueName="[maison].[Colonne6]" caption="Colonne6" attribute="1" defaultMemberUniqueName="[maison].[Colonne6].[All]" allUniqueName="[maison].[Colonne6].[All]" dimensionUniqueName="[maison]" displayFolder="" count="0" memberValueDatatype="20" unbalanced="0"/>
    <cacheHierarchy uniqueName="[maison].[Colonne7]" caption="Colonne7" attribute="1" defaultMemberUniqueName="[maison].[Colonne7].[All]" allUniqueName="[maison].[Colonne7].[All]" dimensionUniqueName="[maison]" displayFolder="" count="0" memberValueDatatype="20" unbalanced="0"/>
    <cacheHierarchy uniqueName="[maison].[Colonne8]" caption="Colonne8" attribute="1" defaultMemberUniqueName="[maison].[Colonne8].[All]" allUniqueName="[maison].[Colonne8].[All]" dimensionUniqueName="[maison]" displayFolder="" count="0" memberValueDatatype="20" unbalanced="0"/>
    <cacheHierarchy uniqueName="[maison].[Colonne9]" caption="Colonne9" attribute="1" defaultMemberUniqueName="[maison].[Colonne9].[All]" allUniqueName="[maison].[Colonne9].[All]" dimensionUniqueName="[maison]" displayFolder="" count="0" memberValueDatatype="20" unbalanced="0"/>
    <cacheHierarchy uniqueName="[maison].[Colonne10]" caption="Colonne10" attribute="1" defaultMemberUniqueName="[maison].[Colonne10].[All]" allUniqueName="[maison].[Colonne10].[All]" dimensionUniqueName="[maison]" displayFolder="" count="0" memberValueDatatype="20" unbalanced="0"/>
    <cacheHierarchy uniqueName="[maison].[Colonne11]" caption="Colonne11" attribute="1" defaultMemberUniqueName="[maison].[Colonne11].[All]" allUniqueName="[maison].[Colonne11].[All]" dimensionUniqueName="[maison]" displayFolder="" count="0" memberValueDatatype="20" unbalanced="0"/>
    <cacheHierarchy uniqueName="[maison].[Colonne12]" caption="Colonne12" attribute="1" defaultMemberUniqueName="[maison].[Colonne12].[All]" allUniqueName="[maison].[Colonne12].[All]" dimensionUniqueName="[maison]" displayFolder="" count="0" memberValueDatatype="20" unbalanced="0"/>
    <cacheHierarchy uniqueName="[maison].[Colonne13]" caption="Colonne13" attribute="1" defaultMemberUniqueName="[maison].[Colonne13].[All]" allUniqueName="[maison].[Colonne13].[All]" dimensionUniqueName="[maison]" displayFolder="" count="0" memberValueDatatype="20" unbalanced="0"/>
    <cacheHierarchy uniqueName="[maison].[Colonne14]" caption="Colonne14" attribute="1" defaultMemberUniqueName="[maison].[Colonne14].[All]" allUniqueName="[maison].[Colonne14].[All]" dimensionUniqueName="[maison]" displayFolder="" count="0" memberValueDatatype="20" unbalanced="0"/>
    <cacheHierarchy uniqueName="[nourriture].[Colonne1]" caption="Colonne1" attribute="1" defaultMemberUniqueName="[nourriture].[Colonne1].[All]" allUniqueName="[nourriture].[Colonne1].[All]" dimensionUniqueName="[nourriture]" displayFolder="" count="0" memberValueDatatype="130" unbalanced="0"/>
    <cacheHierarchy uniqueName="[nourriture].[Colonne2]" caption="Colonne2" attribute="1" defaultMemberUniqueName="[nourriture].[Colonne2].[All]" allUniqueName="[nourriture].[Colonne2].[All]" dimensionUniqueName="[nourriture]" displayFolder="" count="0" memberValueDatatype="20" unbalanced="0"/>
    <cacheHierarchy uniqueName="[nourriture].[Colonne3]" caption="Colonne3" attribute="1" defaultMemberUniqueName="[nourriture].[Colonne3].[All]" allUniqueName="[nourriture].[Colonne3].[All]" dimensionUniqueName="[nourriture]" displayFolder="" count="0" memberValueDatatype="20" unbalanced="0"/>
    <cacheHierarchy uniqueName="[nourriture].[Colonne4]" caption="Colonne4" attribute="1" defaultMemberUniqueName="[nourriture].[Colonne4].[All]" allUniqueName="[nourriture].[Colonne4].[All]" dimensionUniqueName="[nourriture]" displayFolder="" count="0" memberValueDatatype="20" unbalanced="0"/>
    <cacheHierarchy uniqueName="[nourriture].[Colonne5]" caption="Colonne5" attribute="1" defaultMemberUniqueName="[nourriture].[Colonne5].[All]" allUniqueName="[nourriture].[Colonne5].[All]" dimensionUniqueName="[nourriture]" displayFolder="" count="0" memberValueDatatype="20" unbalanced="0"/>
    <cacheHierarchy uniqueName="[nourriture].[Colonne6]" caption="Colonne6" attribute="1" defaultMemberUniqueName="[nourriture].[Colonne6].[All]" allUniqueName="[nourriture].[Colonne6].[All]" dimensionUniqueName="[nourriture]" displayFolder="" count="0" memberValueDatatype="20" unbalanced="0"/>
    <cacheHierarchy uniqueName="[nourriture].[Colonne7]" caption="Colonne7" attribute="1" defaultMemberUniqueName="[nourriture].[Colonne7].[All]" allUniqueName="[nourriture].[Colonne7].[All]" dimensionUniqueName="[nourriture]" displayFolder="" count="0" memberValueDatatype="20" unbalanced="0"/>
    <cacheHierarchy uniqueName="[nourriture].[Colonne8]" caption="Colonne8" attribute="1" defaultMemberUniqueName="[nourriture].[Colonne8].[All]" allUniqueName="[nourriture].[Colonne8].[All]" dimensionUniqueName="[nourriture]" displayFolder="" count="0" memberValueDatatype="20" unbalanced="0"/>
    <cacheHierarchy uniqueName="[nourriture].[Colonne9]" caption="Colonne9" attribute="1" defaultMemberUniqueName="[nourriture].[Colonne9].[All]" allUniqueName="[nourriture].[Colonne9].[All]" dimensionUniqueName="[nourriture]" displayFolder="" count="0" memberValueDatatype="20" unbalanced="0"/>
    <cacheHierarchy uniqueName="[nourriture].[Colonne10]" caption="Colonne10" attribute="1" defaultMemberUniqueName="[nourriture].[Colonne10].[All]" allUniqueName="[nourriture].[Colonne10].[All]" dimensionUniqueName="[nourriture]" displayFolder="" count="0" memberValueDatatype="20" unbalanced="0"/>
    <cacheHierarchy uniqueName="[nourriture].[Colonne11]" caption="Colonne11" attribute="1" defaultMemberUniqueName="[nourriture].[Colonne11].[All]" allUniqueName="[nourriture].[Colonne11].[All]" dimensionUniqueName="[nourriture]" displayFolder="" count="0" memberValueDatatype="20" unbalanced="0"/>
    <cacheHierarchy uniqueName="[nourriture].[Colonne12]" caption="Colonne12" attribute="1" defaultMemberUniqueName="[nourriture].[Colonne12].[All]" allUniqueName="[nourriture].[Colonne12].[All]" dimensionUniqueName="[nourriture]" displayFolder="" count="0" memberValueDatatype="20" unbalanced="0"/>
    <cacheHierarchy uniqueName="[nourriture].[Colonne13]" caption="Colonne13" attribute="1" defaultMemberUniqueName="[nourriture].[Colonne13].[All]" allUniqueName="[nourriture].[Colonne13].[All]" dimensionUniqueName="[nourriture]" displayFolder="" count="0" memberValueDatatype="20" unbalanced="0"/>
    <cacheHierarchy uniqueName="[nourriture].[Colonne14]" caption="Colonne14" attribute="1" defaultMemberUniqueName="[nourriture].[Colonne14].[All]" allUniqueName="[nourriture].[Colonne14].[All]" dimensionUniqueName="[nourriture]" displayFolder="" count="0" memberValueDatatype="20" unbalanced="0"/>
    <cacheHierarchy uniqueName="[revenue].[Elements]" caption="Elements" attribute="1" defaultMemberUniqueName="[revenue].[Elements].[All]" allUniqueName="[revenue].[Elements].[All]" dimensionUniqueName="[revenue]" displayFolder="" count="0" memberValueDatatype="130" unbalanced="0"/>
    <cacheHierarchy uniqueName="[revenue].[Janv.]" caption="Janv." attribute="1" defaultMemberUniqueName="[revenue].[Janv.].[All]" allUniqueName="[revenue].[Janv.].[All]" dimensionUniqueName="[revenue]" displayFolder="" count="0" memberValueDatatype="20" unbalanced="0"/>
    <cacheHierarchy uniqueName="[revenue].[Fev.]" caption="Fev." attribute="1" defaultMemberUniqueName="[revenue].[Fev.].[All]" allUniqueName="[revenue].[Fev.].[All]" dimensionUniqueName="[revenue]" displayFolder="" count="0" memberValueDatatype="20" unbalanced="0"/>
    <cacheHierarchy uniqueName="[revenue].[Mars.]" caption="Mars." attribute="1" defaultMemberUniqueName="[revenue].[Mars.].[All]" allUniqueName="[revenue].[Mars.].[All]" dimensionUniqueName="[revenue]" displayFolder="" count="0" memberValueDatatype="20" unbalanced="0"/>
    <cacheHierarchy uniqueName="[revenue].[Avril]" caption="Avril" attribute="1" defaultMemberUniqueName="[revenue].[Avril].[All]" allUniqueName="[revenue].[Avril].[All]" dimensionUniqueName="[revenue]" displayFolder="" count="0" memberValueDatatype="20" unbalanced="0"/>
    <cacheHierarchy uniqueName="[revenue].[Mai]" caption="Mai" attribute="1" defaultMemberUniqueName="[revenue].[Mai].[All]" allUniqueName="[revenue].[Mai].[All]" dimensionUniqueName="[revenue]" displayFolder="" count="0" memberValueDatatype="20" unbalanced="0"/>
    <cacheHierarchy uniqueName="[revenue].[Juin]" caption="Juin" attribute="1" defaultMemberUniqueName="[revenue].[Juin].[All]" allUniqueName="[revenue].[Juin].[All]" dimensionUniqueName="[revenue]" displayFolder="" count="0" memberValueDatatype="20" unbalanced="0"/>
    <cacheHierarchy uniqueName="[revenue].[Juillet]" caption="Juillet" attribute="1" defaultMemberUniqueName="[revenue].[Juillet].[All]" allUniqueName="[revenue].[Juillet].[All]" dimensionUniqueName="[revenue]" displayFolder="" count="0" memberValueDatatype="20" unbalanced="0"/>
    <cacheHierarchy uniqueName="[revenue].[Aout]" caption="Aout" attribute="1" defaultMemberUniqueName="[revenue].[Aout].[All]" allUniqueName="[revenue].[Aout].[All]" dimensionUniqueName="[revenue]" displayFolder="" count="0" memberValueDatatype="20" unbalanced="0"/>
    <cacheHierarchy uniqueName="[revenue].[Sept.]" caption="Sept." attribute="1" defaultMemberUniqueName="[revenue].[Sept.].[All]" allUniqueName="[revenue].[Sept.].[All]" dimensionUniqueName="[revenue]" displayFolder="" count="0" memberValueDatatype="20" unbalanced="0"/>
    <cacheHierarchy uniqueName="[revenue].[Oct.]" caption="Oct." attribute="1" defaultMemberUniqueName="[revenue].[Oct.].[All]" allUniqueName="[revenue].[Oct.].[All]" dimensionUniqueName="[revenue]" displayFolder="" count="0" memberValueDatatype="20" unbalanced="0"/>
    <cacheHierarchy uniqueName="[revenue].[Nov.]" caption="Nov." attribute="1" defaultMemberUniqueName="[revenue].[Nov.].[All]" allUniqueName="[revenue].[Nov.].[All]" dimensionUniqueName="[revenue]" displayFolder="" count="0" memberValueDatatype="20" unbalanced="0"/>
    <cacheHierarchy uniqueName="[revenue].[Dec]" caption="Dec" attribute="1" defaultMemberUniqueName="[revenue].[Dec].[All]" allUniqueName="[revenue].[Dec].[All]" dimensionUniqueName="[revenue]" displayFolder="" count="0" memberValueDatatype="20" unbalanced="0"/>
    <cacheHierarchy uniqueName="[revenue].[Year to Date]" caption="Year to Date" attribute="1" defaultMemberUniqueName="[revenue].[Year to Date].[All]" allUniqueName="[revenue].[Year to Date].[All]" dimensionUniqueName="[revenue]" displayFolder="" count="0" memberValueDatatype="20" unbalanced="0"/>
    <cacheHierarchy uniqueName="[revenuXYZ].[Date]" caption="Date" attribute="1" time="1" defaultMemberUniqueName="[revenuXYZ].[Date].[All]" allUniqueName="[revenuXYZ].[Date].[All]" dimensionUniqueName="[revenuXYZ]" displayFolder="" count="0" memberValueDatatype="7" unbalanced="0"/>
    <cacheHierarchy uniqueName="[revenuXYZ].[mois]" caption="mois" attribute="1" defaultMemberUniqueName="[revenuXYZ].[mois].[All]" allUniqueName="[revenuXYZ].[mois].[All]" dimensionUniqueName="[revenuXYZ]" displayFolder="" count="0" memberValueDatatype="20" unbalanced="0"/>
    <cacheHierarchy uniqueName="[revenuXYZ].[categorie]" caption="categorie" attribute="1" defaultMemberUniqueName="[revenuXYZ].[categorie].[All]" allUniqueName="[revenuXYZ].[categorie].[All]" dimensionUniqueName="[revenuXYZ]" displayFolder="" count="0" memberValueDatatype="130" unbalanced="0"/>
    <cacheHierarchy uniqueName="[revenuXYZ].[Description]" caption="Description" attribute="1" defaultMemberUniqueName="[revenuXYZ].[Description].[All]" allUniqueName="[revenuXYZ].[Description].[All]" dimensionUniqueName="[revenuXYZ]" displayFolder="" count="0" memberValueDatatype="130" unbalanced="0"/>
    <cacheHierarchy uniqueName="[revenuXYZ].[montant]" caption="montant" attribute="1" defaultMemberUniqueName="[revenuXYZ].[montant].[All]" allUniqueName="[revenuXYZ].[montant].[All]" dimensionUniqueName="[revenuXYZ]" displayFolder="" count="0" memberValueDatatype="20" unbalanced="0"/>
    <cacheHierarchy uniqueName="[revenuXYZ].[montant_CFA]" caption="montant_CFA" attribute="1" defaultMemberUniqueName="[revenuXYZ].[montant_CFA].[All]" allUniqueName="[revenuXYZ].[montant_CFA].[All]" dimensionUniqueName="[revenuXYZ]" displayFolder="" count="0" memberValueDatatype="5" unbalanced="0"/>
    <cacheHierarchy uniqueName="[revenuXYZ].[source]" caption="source" attribute="1" defaultMemberUniqueName="[revenuXYZ].[source].[All]" allUniqueName="[revenuXYZ].[source].[All]" dimensionUniqueName="[revenuXYZ]" displayFolder="" count="0" memberValueDatatype="130" unbalanced="0"/>
    <cacheHierarchy uniqueName="[revenuXYZ].[ID]" caption="ID" attribute="1" defaultMemberUniqueName="[revenuXYZ].[ID].[All]" allUniqueName="[revenuXYZ].[ID].[All]" dimensionUniqueName="[revenuXYZ]" displayFolder="" count="0" memberValueDatatype="20" unbalanced="0"/>
    <cacheHierarchy uniqueName="[transport].[Colonne1]" caption="Colonne1" attribute="1" defaultMemberUniqueName="[transport].[Colonne1].[All]" allUniqueName="[transport].[Colonne1].[All]" dimensionUniqueName="[transport]" displayFolder="" count="0" memberValueDatatype="130" unbalanced="0"/>
    <cacheHierarchy uniqueName="[transport].[Colonne2]" caption="Colonne2" attribute="1" defaultMemberUniqueName="[transport].[Colonne2].[All]" allUniqueName="[transport].[Colonne2].[All]" dimensionUniqueName="[transport]" displayFolder="" count="0" memberValueDatatype="20" unbalanced="0"/>
    <cacheHierarchy uniqueName="[transport].[Colonne3]" caption="Colonne3" attribute="1" defaultMemberUniqueName="[transport].[Colonne3].[All]" allUniqueName="[transport].[Colonne3].[All]" dimensionUniqueName="[transport]" displayFolder="" count="0" memberValueDatatype="20" unbalanced="0"/>
    <cacheHierarchy uniqueName="[transport].[Colonne4]" caption="Colonne4" attribute="1" defaultMemberUniqueName="[transport].[Colonne4].[All]" allUniqueName="[transport].[Colonne4].[All]" dimensionUniqueName="[transport]" displayFolder="" count="0" memberValueDatatype="20" unbalanced="0"/>
    <cacheHierarchy uniqueName="[transport].[Colonne5]" caption="Colonne5" attribute="1" defaultMemberUniqueName="[transport].[Colonne5].[All]" allUniqueName="[transport].[Colonne5].[All]" dimensionUniqueName="[transport]" displayFolder="" count="0" memberValueDatatype="20" unbalanced="0"/>
    <cacheHierarchy uniqueName="[transport].[Colonne6]" caption="Colonne6" attribute="1" defaultMemberUniqueName="[transport].[Colonne6].[All]" allUniqueName="[transport].[Colonne6].[All]" dimensionUniqueName="[transport]" displayFolder="" count="0" memberValueDatatype="20" unbalanced="0"/>
    <cacheHierarchy uniqueName="[transport].[Colonne7]" caption="Colonne7" attribute="1" defaultMemberUniqueName="[transport].[Colonne7].[All]" allUniqueName="[transport].[Colonne7].[All]" dimensionUniqueName="[transport]" displayFolder="" count="0" memberValueDatatype="20" unbalanced="0"/>
    <cacheHierarchy uniqueName="[transport].[Colonne8]" caption="Colonne8" attribute="1" defaultMemberUniqueName="[transport].[Colonne8].[All]" allUniqueName="[transport].[Colonne8].[All]" dimensionUniqueName="[transport]" displayFolder="" count="0" memberValueDatatype="20" unbalanced="0"/>
    <cacheHierarchy uniqueName="[transport].[Colonne9]" caption="Colonne9" attribute="1" defaultMemberUniqueName="[transport].[Colonne9].[All]" allUniqueName="[transport].[Colonne9].[All]" dimensionUniqueName="[transport]" displayFolder="" count="0" memberValueDatatype="20" unbalanced="0"/>
    <cacheHierarchy uniqueName="[transport].[Colonne10]" caption="Colonne10" attribute="1" defaultMemberUniqueName="[transport].[Colonne10].[All]" allUniqueName="[transport].[Colonne10].[All]" dimensionUniqueName="[transport]" displayFolder="" count="0" memberValueDatatype="20" unbalanced="0"/>
    <cacheHierarchy uniqueName="[transport].[Colonne11]" caption="Colonne11" attribute="1" defaultMemberUniqueName="[transport].[Colonne11].[All]" allUniqueName="[transport].[Colonne11].[All]" dimensionUniqueName="[transport]" displayFolder="" count="0" memberValueDatatype="20" unbalanced="0"/>
    <cacheHierarchy uniqueName="[transport].[Colonne12]" caption="Colonne12" attribute="1" defaultMemberUniqueName="[transport].[Colonne12].[All]" allUniqueName="[transport].[Colonne12].[All]" dimensionUniqueName="[transport]" displayFolder="" count="0" memberValueDatatype="20" unbalanced="0"/>
    <cacheHierarchy uniqueName="[transport].[Colonne13]" caption="Colonne13" attribute="1" defaultMemberUniqueName="[transport].[Colonne13].[All]" allUniqueName="[transport].[Colonne13].[All]" dimensionUniqueName="[transport]" displayFolder="" count="0" memberValueDatatype="20" unbalanced="0"/>
    <cacheHierarchy uniqueName="[transport].[Colonne14]" caption="Colonne14" attribute="1" defaultMemberUniqueName="[transport].[Colonne14].[All]" allUniqueName="[transport].[Colonne14].[All]" dimensionUniqueName="[transport]" displayFolder="" count="0" memberValueDatatype="20" unbalanced="0"/>
    <cacheHierarchy uniqueName="[Date].[Date (Month Index)]" caption="Date (Month Index)" attribute="1" defaultMemberUniqueName="[Date].[Date (Month Index)].[All]" allUniqueName="[Date].[Date (Month Index)].[All]" dimensionUniqueName="[Date]" displayFolder="" count="0" memberValueDatatype="20" unbalanced="0" hidden="1"/>
    <cacheHierarchy uniqueName="[Measures].[Sum of montant]" caption="Sum of montant" measure="1" displayFolder="" measureGroup="revenuXYZ" count="0">
      <extLst>
        <ext xmlns:x15="http://schemas.microsoft.com/office/spreadsheetml/2010/11/main" uri="{B97F6D7D-B522-45F9-BDA1-12C45D357490}">
          <x15:cacheHierarchy aggregatedColumn="72"/>
        </ext>
      </extLst>
    </cacheHierarchy>
    <cacheHierarchy uniqueName="[Measures].[Sum of montant 2]" caption="Sum of montant 2" measure="1" displayFolder="" measureGroup="depense" count="0">
      <extLst>
        <ext xmlns:x15="http://schemas.microsoft.com/office/spreadsheetml/2010/11/main" uri="{B97F6D7D-B522-45F9-BDA1-12C45D357490}">
          <x15:cacheHierarchy aggregatedColumn="12"/>
        </ext>
      </extLst>
    </cacheHierarchy>
    <cacheHierarchy uniqueName="[Measures].[Average of montant]" caption="Average of montant" measure="1" displayFolder="" measureGroup="depense" count="0">
      <extLst>
        <ext xmlns:x15="http://schemas.microsoft.com/office/spreadsheetml/2010/11/main" uri="{B97F6D7D-B522-45F9-BDA1-12C45D357490}">
          <x15:cacheHierarchy aggregatedColumn="12"/>
        </ext>
      </extLst>
    </cacheHierarchy>
    <cacheHierarchy uniqueName="[Measures].[reste]" caption="reste" measure="1" displayFolder="" measureGroup="revenue" count="0" oneField="1">
      <fieldsUsage count="1">
        <fieldUsage x="5"/>
      </fieldsUsage>
    </cacheHierarchy>
    <cacheHierarchy uniqueName="[Measures].[TotalRevenue]" caption="TotalRevenue" measure="1" displayFolder="" measureGroup="revenuXYZ" count="0" oneField="1">
      <fieldsUsage count="1">
        <fieldUsage x="1"/>
      </fieldsUsage>
    </cacheHierarchy>
    <cacheHierarchy uniqueName="[Measures].[TotalDepense]" caption="TotalDepense" measure="1" displayFolder="" measureGroup="depense" count="0" oneField="1">
      <fieldsUsage count="1">
        <fieldUsage x="4"/>
      </fieldsUsage>
    </cacheHierarchy>
    <cacheHierarchy uniqueName="[Measures].[TotalReste]" caption="TotalReste" measure="1" displayFolder="" measureGroup="depense" count="0"/>
    <cacheHierarchy uniqueName="[Measures].[10% du Revenu]" caption="10% du Revenu" measure="1" displayFolder="" measureGroup="revenue" count="0" oneField="1">
      <fieldsUsage count="1">
        <fieldUsage x="2"/>
      </fieldsUsage>
    </cacheHierarchy>
    <cacheHierarchy uniqueName="[Measures].[20% du Revenu]" caption="20% du Revenu" measure="1" displayFolder="" measureGroup="revenue" count="0" oneField="1">
      <fieldsUsage count="1">
        <fieldUsage x="3"/>
      </fieldsUsage>
    </cacheHierarchy>
    <cacheHierarchy uniqueName="[Measures].[Epargne]" caption="Epargne" measure="1" displayFolder="" measureGroup="revenue" count="0" oneField="1">
      <fieldsUsage count="1">
        <fieldUsage x="6"/>
      </fieldsUsage>
    </cacheHierarchy>
    <cacheHierarchy uniqueName="[Measures].[Reste Depensable]" caption="Reste Depensable" measure="1" displayFolder="" measureGroup="revenuXYZ" count="0" oneField="1">
      <fieldsUsage count="1">
        <fieldUsage x="7"/>
      </fieldsUsage>
    </cacheHierarchy>
    <cacheHierarchy uniqueName="[Measures].[dime]" caption="dime" measure="1" displayFolder="" measureGroup="revenuXYZ" count="0" oneField="1">
      <fieldsUsage count="1">
        <fieldUsage x="8"/>
      </fieldsUsage>
    </cacheHierarchy>
    <cacheHierarchy uniqueName="[Measures].[__XL_Count revenue]" caption="__XL_Count revenue" measure="1" displayFolder="" measureGroup="revenue" count="0" hidden="1"/>
    <cacheHierarchy uniqueName="[Measures].[__XL_Count maison]" caption="__XL_Count maison" measure="1" displayFolder="" measureGroup="maison" count="0" hidden="1"/>
    <cacheHierarchy uniqueName="[Measures].[__XL_Count nourriture]" caption="__XL_Count nourriture" measure="1" displayFolder="" measureGroup="nourriture" count="0" hidden="1"/>
    <cacheHierarchy uniqueName="[Measures].[__XL_Count transport]" caption="__XL_Count transport" measure="1" displayFolder="" measureGroup="transport" count="0" hidden="1"/>
    <cacheHierarchy uniqueName="[Measures].[__XL_Count revenuXYZ]" caption="__XL_Count revenuXYZ" measure="1" displayFolder="" measureGroup="revenuXYZ" count="0" hidden="1"/>
    <cacheHierarchy uniqueName="[Measures].[__XL_Count depense]" caption="__XL_Count depense" measure="1" displayFolder="" measureGroup="depense" count="0" hidden="1"/>
    <cacheHierarchy uniqueName="[Measures].[__XL_Count Table14]" caption="__XL_Count Table14" measure="1" displayFolder="" measureGroup="Date" count="0" hidden="1"/>
    <cacheHierarchy uniqueName="[Measures].[__XL_Count Epargne]" caption="__XL_Count Epargne" measure="1" displayFolder="" measureGroup="Epargne" count="0" hidden="1"/>
    <cacheHierarchy uniqueName="[Measures].[__XL_Count dime]" caption="__XL_Count dime" measure="1" displayFolder="" measureGroup="dime" count="0" hidden="1"/>
    <cacheHierarchy uniqueName="[Measures].[__No measures defined]" caption="__No measures defined" measure="1" displayFolder="" count="0" hidden="1"/>
  </cacheHierarchies>
  <kpis count="0"/>
  <dimensions count="10">
    <dimension name="Date" uniqueName="[Date]" caption="Date"/>
    <dimension name="depense" uniqueName="[depense]" caption="depense"/>
    <dimension name="dime" uniqueName="[dime]" caption="dime"/>
    <dimension name="Epargne" uniqueName="[Epargne]" caption="Epargne"/>
    <dimension name="maison" uniqueName="[maison]" caption="maison"/>
    <dimension measure="1" name="Measures" uniqueName="[Measures]" caption="Measures"/>
    <dimension name="nourriture" uniqueName="[nourriture]" caption="nourriture"/>
    <dimension name="revenue" uniqueName="[revenue]" caption="revenue"/>
    <dimension name="revenuXYZ" uniqueName="[revenuXYZ]" caption="revenuXYZ"/>
    <dimension name="transport" uniqueName="[transport]" caption="transport"/>
  </dimensions>
  <measureGroups count="9">
    <measureGroup name="Date" caption="Date"/>
    <measureGroup name="depense" caption="depense"/>
    <measureGroup name="dime" caption="dime"/>
    <measureGroup name="Epargne" caption="Epargne"/>
    <measureGroup name="maison" caption="maison"/>
    <measureGroup name="nourriture" caption="nourriture"/>
    <measureGroup name="revenue" caption="revenue"/>
    <measureGroup name="revenuXYZ" caption="revenuXYZ"/>
    <measureGroup name="transport" caption="transport"/>
  </measureGroups>
  <maps count="13">
    <map measureGroup="0" dimension="0"/>
    <map measureGroup="1" dimension="0"/>
    <map measureGroup="1" dimension="1"/>
    <map measureGroup="2" dimension="0"/>
    <map measureGroup="2" dimension="2"/>
    <map measureGroup="3" dimension="0"/>
    <map measureGroup="3" dimension="3"/>
    <map measureGroup="4" dimension="4"/>
    <map measureGroup="5" dimension="6"/>
    <map measureGroup="6" dimension="7"/>
    <map measureGroup="7" dimension="0"/>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504.703323148147" backgroundQuery="1" createdVersion="3" refreshedVersion="8" minRefreshableVersion="3" recordCount="0" supportSubquery="1" supportAdvancedDrill="1" xr:uid="{68867F54-D0C5-40E7-AA03-709BEEAAA6AA}">
  <cacheSource type="external" connectionId="1">
    <extLst>
      <ext xmlns:x14="http://schemas.microsoft.com/office/spreadsheetml/2009/9/main" uri="{F057638F-6D5F-4e77-A914-E7F072B9BCA8}">
        <x14:sourceConnection name="ThisWorkbookDataModel"/>
      </ext>
    </extLst>
  </cacheSource>
  <cacheFields count="0"/>
  <cacheHierarchies count="113">
    <cacheHierarchy uniqueName="[Date].[Date]" caption="Date" attribute="1" time="1" defaultMemberUniqueName="[Date].[Date].[All]" allUniqueName="[Date].[Date].[All]" dimensionUniqueName="[Date]" displayFolder="" count="0" memberValueDatatype="7" unbalanced="0"/>
    <cacheHierarchy uniqueName="[Date].[Date (Year)]" caption="Date (Year)" attribute="1" defaultMemberUniqueName="[Date].[Date (Year)].[All]" allUniqueName="[Date].[Date (Year)].[All]" dimensionUniqueName="[Date]" displayFolder="" count="2" memberValueDatatype="130" unbalanced="0"/>
    <cacheHierarchy uniqueName="[Date].[Date (Quarter)]" caption="Date (Quarter)" attribute="1" defaultMemberUniqueName="[Date].[Date (Quarter)].[All]" allUniqueName="[Date].[Date (Quarter)].[All]" dimensionUniqueName="[Date]" displayFolder="" count="0" memberValueDatatype="130" unbalanced="0"/>
    <cacheHierarchy uniqueName="[Date].[Date (Month)]" caption="Date (Month)" attribute="1" defaultMemberUniqueName="[Date].[Date (Month)].[All]" allUniqueName="[Date].[Date (Month)].[All]" dimensionUniqueName="[Date]" displayFolder="" count="2" memberValueDatatype="130" unbalanced="0"/>
    <cacheHierarchy uniqueName="[Date].[week]" caption="week" attribute="1" defaultMemberUniqueName="[Date].[week].[All]" allUniqueName="[Date].[week].[All]" dimensionUniqueName="[Date]" displayFolder="" count="0" memberValueDatatype="130" unbalanced="0"/>
    <cacheHierarchy uniqueName="[Date].[Mois]" caption="Mois" attribute="1" defaultMemberUniqueName="[Date].[Mois].[All]" allUniqueName="[Date].[Mois].[All]" dimensionUniqueName="[Date]" displayFolder="" count="0" memberValueDatatype="20" unbalanced="0"/>
    <cacheHierarchy uniqueName="[Date].[Nun_Month]" caption="Nun_Month" attribute="1" defaultMemberUniqueName="[Date].[Nun_Month].[All]" allUniqueName="[Date].[Nun_Month].[All]" dimensionUniqueName="[Date]" displayFolder="" count="0" memberValueDatatype="130" unbalanced="0"/>
    <cacheHierarchy uniqueName="[depense].[Date]" caption="Date" attribute="1" time="1" defaultMemberUniqueName="[depense].[Date].[All]" allUniqueName="[depense].[Date].[All]" dimensionUniqueName="[depense]" displayFolder="" count="0" memberValueDatatype="7" unbalanced="0"/>
    <cacheHierarchy uniqueName="[depense].[mois]" caption="mois" attribute="1" defaultMemberUniqueName="[depense].[mois].[All]" allUniqueName="[depense].[mois].[All]" dimensionUniqueName="[depense]" displayFolder="" count="0" memberValueDatatype="20" unbalanced="0"/>
    <cacheHierarchy uniqueName="[depense].[source]" caption="source" attribute="1" defaultMemberUniqueName="[depense].[source].[All]" allUniqueName="[depense].[source].[All]" dimensionUniqueName="[depense]" displayFolder="" count="0" memberValueDatatype="130" unbalanced="0"/>
    <cacheHierarchy uniqueName="[depense].[Caegorie]" caption="Caegorie" attribute="1" defaultMemberUniqueName="[depense].[Caegorie].[All]" allUniqueName="[depense].[Caegorie].[All]" dimensionUniqueName="[depense]" displayFolder="" count="2" memberValueDatatype="130" unbalanced="0"/>
    <cacheHierarchy uniqueName="[depense].[Description]" caption="Description" attribute="1" defaultMemberUniqueName="[depense].[Description].[All]" allUniqueName="[depense].[Description].[All]" dimensionUniqueName="[depense]" displayFolder="" count="0" memberValueDatatype="130" unbalanced="0"/>
    <cacheHierarchy uniqueName="[depense].[montant]" caption="montant" attribute="1" defaultMemberUniqueName="[depense].[montant].[All]" allUniqueName="[depense].[montant].[All]" dimensionUniqueName="[depense]" displayFolder="" count="0" memberValueDatatype="20" unbalanced="0"/>
    <cacheHierarchy uniqueName="[depense].[montant_CFA]" caption="montant_CFA" attribute="1" defaultMemberUniqueName="[depense].[montant_CFA].[All]" allUniqueName="[depense].[montant_CFA].[All]" dimensionUniqueName="[depense]" displayFolder="" count="0" memberValueDatatype="20" unbalanced="0"/>
    <cacheHierarchy uniqueName="[depense].[ID]" caption="ID" attribute="1" defaultMemberUniqueName="[depense].[ID].[All]" allUniqueName="[depense].[ID].[All]" dimensionUniqueName="[depense]" displayFolder="" count="0" memberValueDatatype="20" unbalanced="0"/>
    <cacheHierarchy uniqueName="[dime].[Date]" caption="Date" attribute="1" time="1" defaultMemberUniqueName="[dime].[Date].[All]" allUniqueName="[dime].[Date].[All]" dimensionUniqueName="[dime]" displayFolder="" count="0" memberValueDatatype="7" unbalanced="0"/>
    <cacheHierarchy uniqueName="[dime].[ID_revenue]" caption="ID_revenue" attribute="1" defaultMemberUniqueName="[dime].[ID_revenue].[All]" allUniqueName="[dime].[ID_revenue].[All]" dimensionUniqueName="[dime]" displayFolder="" count="0" memberValueDatatype="20" unbalanced="0"/>
    <cacheHierarchy uniqueName="[dime].[Description]" caption="Description" attribute="1" defaultMemberUniqueName="[dime].[Description].[All]" allUniqueName="[dime].[Description].[All]" dimensionUniqueName="[dime]" displayFolder="" count="0" memberValueDatatype="130" unbalanced="0"/>
    <cacheHierarchy uniqueName="[dime].[source]" caption="source" attribute="1" defaultMemberUniqueName="[dime].[source].[All]" allUniqueName="[dime].[source].[All]" dimensionUniqueName="[dime]" displayFolder="" count="0" memberValueDatatype="130" unbalanced="0"/>
    <cacheHierarchy uniqueName="[dime].[montant]" caption="montant" attribute="1" defaultMemberUniqueName="[dime].[montant].[All]" allUniqueName="[dime].[montant].[All]" dimensionUniqueName="[dime]" displayFolder="" count="0" memberValueDatatype="5" unbalanced="0"/>
    <cacheHierarchy uniqueName="[Epargne].[ID]" caption="ID" attribute="1" defaultMemberUniqueName="[Epargne].[ID].[All]" allUniqueName="[Epargne].[ID].[All]" dimensionUniqueName="[Epargne]" displayFolder="" count="0" memberValueDatatype="20" unbalanced="0"/>
    <cacheHierarchy uniqueName="[Epargne].[date]" caption="date" attribute="1" time="1" defaultMemberUniqueName="[Epargne].[date].[All]" allUniqueName="[Epargne].[date].[All]" dimensionUniqueName="[Epargne]" displayFolder="" count="0" memberValueDatatype="7" unbalanced="0"/>
    <cacheHierarchy uniqueName="[Epargne].[source]" caption="source" attribute="1" defaultMemberUniqueName="[Epargne].[source].[All]" allUniqueName="[Epargne].[source].[All]" dimensionUniqueName="[Epargne]" displayFolder="" count="0" memberValueDatatype="130" unbalanced="0"/>
    <cacheHierarchy uniqueName="[Epargne].[Description]" caption="Description" attribute="1" defaultMemberUniqueName="[Epargne].[Description].[All]" allUniqueName="[Epargne].[Description].[All]" dimensionUniqueName="[Epargne]" displayFolder="" count="0" memberValueDatatype="130" unbalanced="0"/>
    <cacheHierarchy uniqueName="[Epargne].[montant]" caption="montant" attribute="1" defaultMemberUniqueName="[Epargne].[montant].[All]" allUniqueName="[Epargne].[montant].[All]" dimensionUniqueName="[Epargne]" displayFolder="" count="0" memberValueDatatype="5" unbalanced="0"/>
    <cacheHierarchy uniqueName="[Epargne].[montant_CFA]" caption="montant_CFA" attribute="1" defaultMemberUniqueName="[Epargne].[montant_CFA].[All]" allUniqueName="[Epargne].[montant_CFA].[All]" dimensionUniqueName="[Epargne]" displayFolder="" count="0" memberValueDatatype="5" unbalanced="0"/>
    <cacheHierarchy uniqueName="[maison].[Colonne1]" caption="Colonne1" attribute="1" defaultMemberUniqueName="[maison].[Colonne1].[All]" allUniqueName="[maison].[Colonne1].[All]" dimensionUniqueName="[maison]" displayFolder="" count="0" memberValueDatatype="130" unbalanced="0"/>
    <cacheHierarchy uniqueName="[maison].[Colonne2]" caption="Colonne2" attribute="1" defaultMemberUniqueName="[maison].[Colonne2].[All]" allUniqueName="[maison].[Colonne2].[All]" dimensionUniqueName="[maison]" displayFolder="" count="0" memberValueDatatype="20" unbalanced="0"/>
    <cacheHierarchy uniqueName="[maison].[Colonne3]" caption="Colonne3" attribute="1" defaultMemberUniqueName="[maison].[Colonne3].[All]" allUniqueName="[maison].[Colonne3].[All]" dimensionUniqueName="[maison]" displayFolder="" count="0" memberValueDatatype="20" unbalanced="0"/>
    <cacheHierarchy uniqueName="[maison].[Colonne4]" caption="Colonne4" attribute="1" defaultMemberUniqueName="[maison].[Colonne4].[All]" allUniqueName="[maison].[Colonne4].[All]" dimensionUniqueName="[maison]" displayFolder="" count="0" memberValueDatatype="20" unbalanced="0"/>
    <cacheHierarchy uniqueName="[maison].[Colonne5]" caption="Colonne5" attribute="1" defaultMemberUniqueName="[maison].[Colonne5].[All]" allUniqueName="[maison].[Colonne5].[All]" dimensionUniqueName="[maison]" displayFolder="" count="0" memberValueDatatype="20" unbalanced="0"/>
    <cacheHierarchy uniqueName="[maison].[Colonne6]" caption="Colonne6" attribute="1" defaultMemberUniqueName="[maison].[Colonne6].[All]" allUniqueName="[maison].[Colonne6].[All]" dimensionUniqueName="[maison]" displayFolder="" count="0" memberValueDatatype="20" unbalanced="0"/>
    <cacheHierarchy uniqueName="[maison].[Colonne7]" caption="Colonne7" attribute="1" defaultMemberUniqueName="[maison].[Colonne7].[All]" allUniqueName="[maison].[Colonne7].[All]" dimensionUniqueName="[maison]" displayFolder="" count="0" memberValueDatatype="20" unbalanced="0"/>
    <cacheHierarchy uniqueName="[maison].[Colonne8]" caption="Colonne8" attribute="1" defaultMemberUniqueName="[maison].[Colonne8].[All]" allUniqueName="[maison].[Colonne8].[All]" dimensionUniqueName="[maison]" displayFolder="" count="0" memberValueDatatype="20" unbalanced="0"/>
    <cacheHierarchy uniqueName="[maison].[Colonne9]" caption="Colonne9" attribute="1" defaultMemberUniqueName="[maison].[Colonne9].[All]" allUniqueName="[maison].[Colonne9].[All]" dimensionUniqueName="[maison]" displayFolder="" count="0" memberValueDatatype="20" unbalanced="0"/>
    <cacheHierarchy uniqueName="[maison].[Colonne10]" caption="Colonne10" attribute="1" defaultMemberUniqueName="[maison].[Colonne10].[All]" allUniqueName="[maison].[Colonne10].[All]" dimensionUniqueName="[maison]" displayFolder="" count="0" memberValueDatatype="20" unbalanced="0"/>
    <cacheHierarchy uniqueName="[maison].[Colonne11]" caption="Colonne11" attribute="1" defaultMemberUniqueName="[maison].[Colonne11].[All]" allUniqueName="[maison].[Colonne11].[All]" dimensionUniqueName="[maison]" displayFolder="" count="0" memberValueDatatype="20" unbalanced="0"/>
    <cacheHierarchy uniqueName="[maison].[Colonne12]" caption="Colonne12" attribute="1" defaultMemberUniqueName="[maison].[Colonne12].[All]" allUniqueName="[maison].[Colonne12].[All]" dimensionUniqueName="[maison]" displayFolder="" count="0" memberValueDatatype="20" unbalanced="0"/>
    <cacheHierarchy uniqueName="[maison].[Colonne13]" caption="Colonne13" attribute="1" defaultMemberUniqueName="[maison].[Colonne13].[All]" allUniqueName="[maison].[Colonne13].[All]" dimensionUniqueName="[maison]" displayFolder="" count="0" memberValueDatatype="20" unbalanced="0"/>
    <cacheHierarchy uniqueName="[maison].[Colonne14]" caption="Colonne14" attribute="1" defaultMemberUniqueName="[maison].[Colonne14].[All]" allUniqueName="[maison].[Colonne14].[All]" dimensionUniqueName="[maison]" displayFolder="" count="0" memberValueDatatype="20" unbalanced="0"/>
    <cacheHierarchy uniqueName="[nourriture].[Colonne1]" caption="Colonne1" attribute="1" defaultMemberUniqueName="[nourriture].[Colonne1].[All]" allUniqueName="[nourriture].[Colonne1].[All]" dimensionUniqueName="[nourriture]" displayFolder="" count="0" memberValueDatatype="130" unbalanced="0"/>
    <cacheHierarchy uniqueName="[nourriture].[Colonne2]" caption="Colonne2" attribute="1" defaultMemberUniqueName="[nourriture].[Colonne2].[All]" allUniqueName="[nourriture].[Colonne2].[All]" dimensionUniqueName="[nourriture]" displayFolder="" count="0" memberValueDatatype="20" unbalanced="0"/>
    <cacheHierarchy uniqueName="[nourriture].[Colonne3]" caption="Colonne3" attribute="1" defaultMemberUniqueName="[nourriture].[Colonne3].[All]" allUniqueName="[nourriture].[Colonne3].[All]" dimensionUniqueName="[nourriture]" displayFolder="" count="0" memberValueDatatype="20" unbalanced="0"/>
    <cacheHierarchy uniqueName="[nourriture].[Colonne4]" caption="Colonne4" attribute="1" defaultMemberUniqueName="[nourriture].[Colonne4].[All]" allUniqueName="[nourriture].[Colonne4].[All]" dimensionUniqueName="[nourriture]" displayFolder="" count="0" memberValueDatatype="20" unbalanced="0"/>
    <cacheHierarchy uniqueName="[nourriture].[Colonne5]" caption="Colonne5" attribute="1" defaultMemberUniqueName="[nourriture].[Colonne5].[All]" allUniqueName="[nourriture].[Colonne5].[All]" dimensionUniqueName="[nourriture]" displayFolder="" count="0" memberValueDatatype="20" unbalanced="0"/>
    <cacheHierarchy uniqueName="[nourriture].[Colonne6]" caption="Colonne6" attribute="1" defaultMemberUniqueName="[nourriture].[Colonne6].[All]" allUniqueName="[nourriture].[Colonne6].[All]" dimensionUniqueName="[nourriture]" displayFolder="" count="0" memberValueDatatype="20" unbalanced="0"/>
    <cacheHierarchy uniqueName="[nourriture].[Colonne7]" caption="Colonne7" attribute="1" defaultMemberUniqueName="[nourriture].[Colonne7].[All]" allUniqueName="[nourriture].[Colonne7].[All]" dimensionUniqueName="[nourriture]" displayFolder="" count="0" memberValueDatatype="20" unbalanced="0"/>
    <cacheHierarchy uniqueName="[nourriture].[Colonne8]" caption="Colonne8" attribute="1" defaultMemberUniqueName="[nourriture].[Colonne8].[All]" allUniqueName="[nourriture].[Colonne8].[All]" dimensionUniqueName="[nourriture]" displayFolder="" count="0" memberValueDatatype="20" unbalanced="0"/>
    <cacheHierarchy uniqueName="[nourriture].[Colonne9]" caption="Colonne9" attribute="1" defaultMemberUniqueName="[nourriture].[Colonne9].[All]" allUniqueName="[nourriture].[Colonne9].[All]" dimensionUniqueName="[nourriture]" displayFolder="" count="0" memberValueDatatype="20" unbalanced="0"/>
    <cacheHierarchy uniqueName="[nourriture].[Colonne10]" caption="Colonne10" attribute="1" defaultMemberUniqueName="[nourriture].[Colonne10].[All]" allUniqueName="[nourriture].[Colonne10].[All]" dimensionUniqueName="[nourriture]" displayFolder="" count="0" memberValueDatatype="20" unbalanced="0"/>
    <cacheHierarchy uniqueName="[nourriture].[Colonne11]" caption="Colonne11" attribute="1" defaultMemberUniqueName="[nourriture].[Colonne11].[All]" allUniqueName="[nourriture].[Colonne11].[All]" dimensionUniqueName="[nourriture]" displayFolder="" count="0" memberValueDatatype="20" unbalanced="0"/>
    <cacheHierarchy uniqueName="[nourriture].[Colonne12]" caption="Colonne12" attribute="1" defaultMemberUniqueName="[nourriture].[Colonne12].[All]" allUniqueName="[nourriture].[Colonne12].[All]" dimensionUniqueName="[nourriture]" displayFolder="" count="0" memberValueDatatype="20" unbalanced="0"/>
    <cacheHierarchy uniqueName="[nourriture].[Colonne13]" caption="Colonne13" attribute="1" defaultMemberUniqueName="[nourriture].[Colonne13].[All]" allUniqueName="[nourriture].[Colonne13].[All]" dimensionUniqueName="[nourriture]" displayFolder="" count="0" memberValueDatatype="20" unbalanced="0"/>
    <cacheHierarchy uniqueName="[nourriture].[Colonne14]" caption="Colonne14" attribute="1" defaultMemberUniqueName="[nourriture].[Colonne14].[All]" allUniqueName="[nourriture].[Colonne14].[All]" dimensionUniqueName="[nourriture]" displayFolder="" count="0" memberValueDatatype="20" unbalanced="0"/>
    <cacheHierarchy uniqueName="[revenue].[Elements]" caption="Elements" attribute="1" defaultMemberUniqueName="[revenue].[Elements].[All]" allUniqueName="[revenue].[Elements].[All]" dimensionUniqueName="[revenue]" displayFolder="" count="0" memberValueDatatype="130" unbalanced="0"/>
    <cacheHierarchy uniqueName="[revenue].[Janv.]" caption="Janv." attribute="1" defaultMemberUniqueName="[revenue].[Janv.].[All]" allUniqueName="[revenue].[Janv.].[All]" dimensionUniqueName="[revenue]" displayFolder="" count="0" memberValueDatatype="20" unbalanced="0"/>
    <cacheHierarchy uniqueName="[revenue].[Fev.]" caption="Fev." attribute="1" defaultMemberUniqueName="[revenue].[Fev.].[All]" allUniqueName="[revenue].[Fev.].[All]" dimensionUniqueName="[revenue]" displayFolder="" count="0" memberValueDatatype="20" unbalanced="0"/>
    <cacheHierarchy uniqueName="[revenue].[Mars.]" caption="Mars." attribute="1" defaultMemberUniqueName="[revenue].[Mars.].[All]" allUniqueName="[revenue].[Mars.].[All]" dimensionUniqueName="[revenue]" displayFolder="" count="0" memberValueDatatype="20" unbalanced="0"/>
    <cacheHierarchy uniqueName="[revenue].[Avril]" caption="Avril" attribute="1" defaultMemberUniqueName="[revenue].[Avril].[All]" allUniqueName="[revenue].[Avril].[All]" dimensionUniqueName="[revenue]" displayFolder="" count="0" memberValueDatatype="20" unbalanced="0"/>
    <cacheHierarchy uniqueName="[revenue].[Mai]" caption="Mai" attribute="1" defaultMemberUniqueName="[revenue].[Mai].[All]" allUniqueName="[revenue].[Mai].[All]" dimensionUniqueName="[revenue]" displayFolder="" count="0" memberValueDatatype="20" unbalanced="0"/>
    <cacheHierarchy uniqueName="[revenue].[Juin]" caption="Juin" attribute="1" defaultMemberUniqueName="[revenue].[Juin].[All]" allUniqueName="[revenue].[Juin].[All]" dimensionUniqueName="[revenue]" displayFolder="" count="0" memberValueDatatype="20" unbalanced="0"/>
    <cacheHierarchy uniqueName="[revenue].[Juillet]" caption="Juillet" attribute="1" defaultMemberUniqueName="[revenue].[Juillet].[All]" allUniqueName="[revenue].[Juillet].[All]" dimensionUniqueName="[revenue]" displayFolder="" count="0" memberValueDatatype="20" unbalanced="0"/>
    <cacheHierarchy uniqueName="[revenue].[Aout]" caption="Aout" attribute="1" defaultMemberUniqueName="[revenue].[Aout].[All]" allUniqueName="[revenue].[Aout].[All]" dimensionUniqueName="[revenue]" displayFolder="" count="0" memberValueDatatype="20" unbalanced="0"/>
    <cacheHierarchy uniqueName="[revenue].[Sept.]" caption="Sept." attribute="1" defaultMemberUniqueName="[revenue].[Sept.].[All]" allUniqueName="[revenue].[Sept.].[All]" dimensionUniqueName="[revenue]" displayFolder="" count="0" memberValueDatatype="20" unbalanced="0"/>
    <cacheHierarchy uniqueName="[revenue].[Oct.]" caption="Oct." attribute="1" defaultMemberUniqueName="[revenue].[Oct.].[All]" allUniqueName="[revenue].[Oct.].[All]" dimensionUniqueName="[revenue]" displayFolder="" count="0" memberValueDatatype="20" unbalanced="0"/>
    <cacheHierarchy uniqueName="[revenue].[Nov.]" caption="Nov." attribute="1" defaultMemberUniqueName="[revenue].[Nov.].[All]" allUniqueName="[revenue].[Nov.].[All]" dimensionUniqueName="[revenue]" displayFolder="" count="0" memberValueDatatype="20" unbalanced="0"/>
    <cacheHierarchy uniqueName="[revenue].[Dec]" caption="Dec" attribute="1" defaultMemberUniqueName="[revenue].[Dec].[All]" allUniqueName="[revenue].[Dec].[All]" dimensionUniqueName="[revenue]" displayFolder="" count="0" memberValueDatatype="20" unbalanced="0"/>
    <cacheHierarchy uniqueName="[revenue].[Year to Date]" caption="Year to Date" attribute="1" defaultMemberUniqueName="[revenue].[Year to Date].[All]" allUniqueName="[revenue].[Year to Date].[All]" dimensionUniqueName="[revenue]" displayFolder="" count="0" memberValueDatatype="20" unbalanced="0"/>
    <cacheHierarchy uniqueName="[revenuXYZ].[Date]" caption="Date" attribute="1" time="1" defaultMemberUniqueName="[revenuXYZ].[Date].[All]" allUniqueName="[revenuXYZ].[Date].[All]" dimensionUniqueName="[revenuXYZ]" displayFolder="" count="0" memberValueDatatype="7" unbalanced="0"/>
    <cacheHierarchy uniqueName="[revenuXYZ].[mois]" caption="mois" attribute="1" defaultMemberUniqueName="[revenuXYZ].[mois].[All]" allUniqueName="[revenuXYZ].[mois].[All]" dimensionUniqueName="[revenuXYZ]" displayFolder="" count="0" memberValueDatatype="20" unbalanced="0"/>
    <cacheHierarchy uniqueName="[revenuXYZ].[categorie]" caption="categorie" attribute="1" defaultMemberUniqueName="[revenuXYZ].[categorie].[All]" allUniqueName="[revenuXYZ].[categorie].[All]" dimensionUniqueName="[revenuXYZ]" displayFolder="" count="2" memberValueDatatype="130" unbalanced="0"/>
    <cacheHierarchy uniqueName="[revenuXYZ].[Description]" caption="Description" attribute="1" defaultMemberUniqueName="[revenuXYZ].[Description].[All]" allUniqueName="[revenuXYZ].[Description].[All]" dimensionUniqueName="[revenuXYZ]" displayFolder="" count="0" memberValueDatatype="130" unbalanced="0"/>
    <cacheHierarchy uniqueName="[revenuXYZ].[montant]" caption="montant" attribute="1" defaultMemberUniqueName="[revenuXYZ].[montant].[All]" allUniqueName="[revenuXYZ].[montant].[All]" dimensionUniqueName="[revenuXYZ]" displayFolder="" count="0" memberValueDatatype="20" unbalanced="0"/>
    <cacheHierarchy uniqueName="[revenuXYZ].[montant_CFA]" caption="montant_CFA" attribute="1" defaultMemberUniqueName="[revenuXYZ].[montant_CFA].[All]" allUniqueName="[revenuXYZ].[montant_CFA].[All]" dimensionUniqueName="[revenuXYZ]" displayFolder="" count="0" memberValueDatatype="5" unbalanced="0"/>
    <cacheHierarchy uniqueName="[revenuXYZ].[source]" caption="source" attribute="1" defaultMemberUniqueName="[revenuXYZ].[source].[All]" allUniqueName="[revenuXYZ].[source].[All]" dimensionUniqueName="[revenuXYZ]" displayFolder="" count="0" memberValueDatatype="130" unbalanced="0"/>
    <cacheHierarchy uniqueName="[revenuXYZ].[ID]" caption="ID" attribute="1" defaultMemberUniqueName="[revenuXYZ].[ID].[All]" allUniqueName="[revenuXYZ].[ID].[All]" dimensionUniqueName="[revenuXYZ]" displayFolder="" count="0" memberValueDatatype="20" unbalanced="0"/>
    <cacheHierarchy uniqueName="[transport].[Colonne1]" caption="Colonne1" attribute="1" defaultMemberUniqueName="[transport].[Colonne1].[All]" allUniqueName="[transport].[Colonne1].[All]" dimensionUniqueName="[transport]" displayFolder="" count="0" memberValueDatatype="130" unbalanced="0"/>
    <cacheHierarchy uniqueName="[transport].[Colonne2]" caption="Colonne2" attribute="1" defaultMemberUniqueName="[transport].[Colonne2].[All]" allUniqueName="[transport].[Colonne2].[All]" dimensionUniqueName="[transport]" displayFolder="" count="0" memberValueDatatype="20" unbalanced="0"/>
    <cacheHierarchy uniqueName="[transport].[Colonne3]" caption="Colonne3" attribute="1" defaultMemberUniqueName="[transport].[Colonne3].[All]" allUniqueName="[transport].[Colonne3].[All]" dimensionUniqueName="[transport]" displayFolder="" count="0" memberValueDatatype="20" unbalanced="0"/>
    <cacheHierarchy uniqueName="[transport].[Colonne4]" caption="Colonne4" attribute="1" defaultMemberUniqueName="[transport].[Colonne4].[All]" allUniqueName="[transport].[Colonne4].[All]" dimensionUniqueName="[transport]" displayFolder="" count="0" memberValueDatatype="20" unbalanced="0"/>
    <cacheHierarchy uniqueName="[transport].[Colonne5]" caption="Colonne5" attribute="1" defaultMemberUniqueName="[transport].[Colonne5].[All]" allUniqueName="[transport].[Colonne5].[All]" dimensionUniqueName="[transport]" displayFolder="" count="0" memberValueDatatype="20" unbalanced="0"/>
    <cacheHierarchy uniqueName="[transport].[Colonne6]" caption="Colonne6" attribute="1" defaultMemberUniqueName="[transport].[Colonne6].[All]" allUniqueName="[transport].[Colonne6].[All]" dimensionUniqueName="[transport]" displayFolder="" count="0" memberValueDatatype="20" unbalanced="0"/>
    <cacheHierarchy uniqueName="[transport].[Colonne7]" caption="Colonne7" attribute="1" defaultMemberUniqueName="[transport].[Colonne7].[All]" allUniqueName="[transport].[Colonne7].[All]" dimensionUniqueName="[transport]" displayFolder="" count="0" memberValueDatatype="20" unbalanced="0"/>
    <cacheHierarchy uniqueName="[transport].[Colonne8]" caption="Colonne8" attribute="1" defaultMemberUniqueName="[transport].[Colonne8].[All]" allUniqueName="[transport].[Colonne8].[All]" dimensionUniqueName="[transport]" displayFolder="" count="0" memberValueDatatype="20" unbalanced="0"/>
    <cacheHierarchy uniqueName="[transport].[Colonne9]" caption="Colonne9" attribute="1" defaultMemberUniqueName="[transport].[Colonne9].[All]" allUniqueName="[transport].[Colonne9].[All]" dimensionUniqueName="[transport]" displayFolder="" count="0" memberValueDatatype="20" unbalanced="0"/>
    <cacheHierarchy uniqueName="[transport].[Colonne10]" caption="Colonne10" attribute="1" defaultMemberUniqueName="[transport].[Colonne10].[All]" allUniqueName="[transport].[Colonne10].[All]" dimensionUniqueName="[transport]" displayFolder="" count="0" memberValueDatatype="20" unbalanced="0"/>
    <cacheHierarchy uniqueName="[transport].[Colonne11]" caption="Colonne11" attribute="1" defaultMemberUniqueName="[transport].[Colonne11].[All]" allUniqueName="[transport].[Colonne11].[All]" dimensionUniqueName="[transport]" displayFolder="" count="0" memberValueDatatype="20" unbalanced="0"/>
    <cacheHierarchy uniqueName="[transport].[Colonne12]" caption="Colonne12" attribute="1" defaultMemberUniqueName="[transport].[Colonne12].[All]" allUniqueName="[transport].[Colonne12].[All]" dimensionUniqueName="[transport]" displayFolder="" count="0" memberValueDatatype="20" unbalanced="0"/>
    <cacheHierarchy uniqueName="[transport].[Colonne13]" caption="Colonne13" attribute="1" defaultMemberUniqueName="[transport].[Colonne13].[All]" allUniqueName="[transport].[Colonne13].[All]" dimensionUniqueName="[transport]" displayFolder="" count="0" memberValueDatatype="20" unbalanced="0"/>
    <cacheHierarchy uniqueName="[transport].[Colonne14]" caption="Colonne14" attribute="1" defaultMemberUniqueName="[transport].[Colonne14].[All]" allUniqueName="[transport].[Colonne14].[All]" dimensionUniqueName="[transport]" displayFolder="" count="0" memberValueDatatype="20" unbalanced="0"/>
    <cacheHierarchy uniqueName="[Date].[Date (Month Index)]" caption="Date (Month Index)" attribute="1" defaultMemberUniqueName="[Date].[Date (Month Index)].[All]" allUniqueName="[Date].[Date (Month Index)].[All]" dimensionUniqueName="[Date]" displayFolder="" count="0" memberValueDatatype="20" unbalanced="0" hidden="1"/>
    <cacheHierarchy uniqueName="[Measures].[Sum of montant]" caption="Sum of montant" measure="1" displayFolder="" measureGroup="revenuXYZ" count="0">
      <extLst>
        <ext xmlns:x15="http://schemas.microsoft.com/office/spreadsheetml/2010/11/main" uri="{B97F6D7D-B522-45F9-BDA1-12C45D357490}">
          <x15:cacheHierarchy aggregatedColumn="72"/>
        </ext>
      </extLst>
    </cacheHierarchy>
    <cacheHierarchy uniqueName="[Measures].[Sum of montant 2]" caption="Sum of montant 2" measure="1" displayFolder="" measureGroup="depense" count="0">
      <extLst>
        <ext xmlns:x15="http://schemas.microsoft.com/office/spreadsheetml/2010/11/main" uri="{B97F6D7D-B522-45F9-BDA1-12C45D357490}">
          <x15:cacheHierarchy aggregatedColumn="12"/>
        </ext>
      </extLst>
    </cacheHierarchy>
    <cacheHierarchy uniqueName="[Measures].[Average of montant]" caption="Average of montant" measure="1" displayFolder="" measureGroup="depense" count="0">
      <extLst>
        <ext xmlns:x15="http://schemas.microsoft.com/office/spreadsheetml/2010/11/main" uri="{B97F6D7D-B522-45F9-BDA1-12C45D357490}">
          <x15:cacheHierarchy aggregatedColumn="12"/>
        </ext>
      </extLst>
    </cacheHierarchy>
    <cacheHierarchy uniqueName="[Measures].[reste]" caption="reste" measure="1" displayFolder="" measureGroup="revenue" count="0"/>
    <cacheHierarchy uniqueName="[Measures].[TotalRevenue]" caption="TotalRevenue" measure="1" displayFolder="" measureGroup="revenuXYZ" count="0"/>
    <cacheHierarchy uniqueName="[Measures].[TotalDepense]" caption="TotalDepense" measure="1" displayFolder="" measureGroup="depense" count="0"/>
    <cacheHierarchy uniqueName="[Measures].[TotalReste]" caption="TotalReste" measure="1" displayFolder="" measureGroup="depense" count="0"/>
    <cacheHierarchy uniqueName="[Measures].[10% du Revenu]" caption="10% du Revenu" measure="1" displayFolder="" measureGroup="revenue" count="0"/>
    <cacheHierarchy uniqueName="[Measures].[20% du Revenu]" caption="20% du Revenu" measure="1" displayFolder="" measureGroup="revenue" count="0"/>
    <cacheHierarchy uniqueName="[Measures].[Epargne]" caption="Epargne" measure="1" displayFolder="" measureGroup="revenue" count="0"/>
    <cacheHierarchy uniqueName="[Measures].[Reste Depensable]" caption="Reste Depensable" measure="1" displayFolder="" measureGroup="revenuXYZ" count="0"/>
    <cacheHierarchy uniqueName="[Measures].[dime]" caption="dime" measure="1" displayFolder="" measureGroup="revenuXYZ" count="0"/>
    <cacheHierarchy uniqueName="[Measures].[__XL_Count revenue]" caption="__XL_Count revenue" measure="1" displayFolder="" measureGroup="revenue" count="0" hidden="1"/>
    <cacheHierarchy uniqueName="[Measures].[__XL_Count maison]" caption="__XL_Count maison" measure="1" displayFolder="" measureGroup="maison" count="0" hidden="1"/>
    <cacheHierarchy uniqueName="[Measures].[__XL_Count nourriture]" caption="__XL_Count nourriture" measure="1" displayFolder="" measureGroup="nourriture" count="0" hidden="1"/>
    <cacheHierarchy uniqueName="[Measures].[__XL_Count transport]" caption="__XL_Count transport" measure="1" displayFolder="" measureGroup="transport" count="0" hidden="1"/>
    <cacheHierarchy uniqueName="[Measures].[__XL_Count revenuXYZ]" caption="__XL_Count revenuXYZ" measure="1" displayFolder="" measureGroup="revenuXYZ" count="0" hidden="1"/>
    <cacheHierarchy uniqueName="[Measures].[__XL_Count depense]" caption="__XL_Count depense" measure="1" displayFolder="" measureGroup="depense" count="0" hidden="1"/>
    <cacheHierarchy uniqueName="[Measures].[__XL_Count Table14]" caption="__XL_Count Table14" measure="1" displayFolder="" measureGroup="Date" count="0" hidden="1"/>
    <cacheHierarchy uniqueName="[Measures].[__XL_Count Epargne]" caption="__XL_Count Epargne" measure="1" displayFolder="" measureGroup="Epargne" count="0" hidden="1"/>
    <cacheHierarchy uniqueName="[Measures].[__XL_Count dime]" caption="__XL_Count dime" measure="1" displayFolder="" measureGroup="dime"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2010665755"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n v="98"/>
  </r>
  <r>
    <x v="1"/>
    <n v="10"/>
  </r>
  <r>
    <x v="2"/>
    <n v="96"/>
  </r>
  <r>
    <x v="3"/>
    <n v="177"/>
  </r>
  <r>
    <x v="4"/>
    <n v="268.8999999999999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
  <r>
    <d v="2024-06-06T00:00:00"/>
    <x v="0"/>
    <s v="en revenant de chez ange"/>
    <n v="50"/>
    <n v="3000"/>
  </r>
  <r>
    <d v="2024-06-06T00:00:00"/>
    <x v="1"/>
    <s v="recharge pour aller chez ange"/>
    <n v="5"/>
    <n v="300"/>
  </r>
  <r>
    <d v="2024-06-06T00:00:00"/>
    <x v="0"/>
    <s v="pour aller en visite chez Ange"/>
    <n v="13"/>
    <n v="780"/>
  </r>
  <r>
    <d v="2024-06-07T00:00:00"/>
    <x v="2"/>
    <s v="Dime de l'argent donné par florence et Ange"/>
    <n v="30"/>
    <n v="1800"/>
  </r>
  <r>
    <d v="2024-06-07T00:00:00"/>
    <x v="1"/>
    <s v="Recharge pour precher a la cellulevendredi"/>
    <n v="5"/>
    <n v="300"/>
  </r>
  <r>
    <d v="2024-06-07T00:00:00"/>
    <x v="3"/>
    <s v="Arachide"/>
    <n v="3.5"/>
    <n v="210"/>
  </r>
  <r>
    <d v="2024-06-09T00:00:00"/>
    <x v="4"/>
    <s v="Culte de dimanche"/>
    <n v="53"/>
    <n v="3180"/>
  </r>
  <r>
    <d v="2024-06-10T00:00:00"/>
    <x v="2"/>
    <s v="Dime sur les dons de M Yvette et Brice"/>
    <n v="20"/>
    <n v="1200"/>
  </r>
  <r>
    <d v="2024-06-10T00:00:00"/>
    <x v="3"/>
    <s v="Arachide"/>
    <n v="5"/>
    <n v="300"/>
  </r>
  <r>
    <d v="2024-06-11T00:00:00"/>
    <x v="3"/>
    <s v="Bouteille d'eau 1,5L"/>
    <n v="5"/>
    <n v="300"/>
  </r>
  <r>
    <d v="2024-06-11T00:00:00"/>
    <x v="3"/>
    <s v="Arachide"/>
    <n v="10"/>
    <n v="600"/>
  </r>
  <r>
    <d v="2024-06-12T00:00:00"/>
    <x v="3"/>
    <s v="Chocolat, gateau et Smoozy"/>
    <n v="10"/>
    <n v="600"/>
  </r>
  <r>
    <d v="2024-06-13T00:00:00"/>
    <x v="3"/>
    <s v="Sandwich"/>
    <n v="12"/>
    <n v="720"/>
  </r>
  <r>
    <d v="2024-06-13T00:00:00"/>
    <x v="2"/>
    <s v="reste en monaie de la dime passée"/>
    <n v="3"/>
    <n v="180"/>
  </r>
  <r>
    <d v="2024-06-14T00:00:00"/>
    <x v="0"/>
    <s v="Branly et moi chez papa Bai "/>
    <n v="10"/>
    <n v="600"/>
  </r>
  <r>
    <d v="2024-06-15T00:00:00"/>
    <x v="4"/>
    <s v="Indrive de Alain et Sarah apres la veillée "/>
    <n v="100"/>
    <n v="6000"/>
  </r>
  <r>
    <d v="2024-06-15T00:00:00"/>
    <x v="3"/>
    <s v="2 Smenes le matin en revenant de la veillée"/>
    <n v="5"/>
    <n v="300"/>
  </r>
  <r>
    <d v="2024-06-15T00:00:00"/>
    <x v="5"/>
    <s v="Lessive de mes Pulls"/>
    <n v="50"/>
    <n v="3000"/>
  </r>
  <r>
    <d v="2024-06-15T00:00:00"/>
    <x v="3"/>
    <s v="Jus de citron pour les thés"/>
    <n v="6"/>
    <n v="360"/>
  </r>
  <r>
    <d v="2024-06-16T00:00:00"/>
    <x v="4"/>
    <s v="Ange 10dh + une mandiantes 5dh"/>
    <n v="15"/>
    <n v="900"/>
  </r>
  <r>
    <d v="2024-06-16T00:00:00"/>
    <x v="0"/>
    <s v="Retour de KFC avec la team Paul"/>
    <n v="5"/>
    <n v="300"/>
  </r>
  <r>
    <d v="2024-06-16T00:00:00"/>
    <x v="3"/>
    <s v="Smoozy"/>
    <n v="6"/>
    <n v="360"/>
  </r>
  <r>
    <d v="2024-06-16T00:00:00"/>
    <x v="4"/>
    <s v="Culte de dimanche"/>
    <n v="9"/>
    <n v="540"/>
  </r>
  <r>
    <d v="2024-06-16T00:00:00"/>
    <x v="4"/>
    <s v="Pour les nouveaux apres culte"/>
    <n v="20.9"/>
    <n v="1254"/>
  </r>
  <r>
    <d v="2024-06-17T00:00:00"/>
    <x v="2"/>
    <s v="Don de Christelle et Papa Guillaume"/>
    <n v="15"/>
    <n v="900"/>
  </r>
  <r>
    <d v="2024-06-19T00:00:00"/>
    <x v="3"/>
    <s v="Sucre et croissant a BIM"/>
    <n v="11.5"/>
    <n v="690"/>
  </r>
  <r>
    <d v="2024-06-20T00:00:00"/>
    <x v="3"/>
    <s v="Biscuit"/>
    <n v="3"/>
    <n v="180"/>
  </r>
  <r>
    <d v="2024-06-23T00:00:00"/>
    <x v="0"/>
    <s v="En revenant de chez Rebecca"/>
    <n v="20"/>
    <n v="1200"/>
  </r>
  <r>
    <d v="2024-06-23T00:00:00"/>
    <x v="4"/>
    <s v="Pour les nouveaux apres culte"/>
    <n v="17"/>
    <n v="1020"/>
  </r>
  <r>
    <d v="2024-06-23T00:00:00"/>
    <x v="4"/>
    <s v="Culte de dimanche"/>
    <n v="10"/>
    <n v="600"/>
  </r>
  <r>
    <d v="2024-06-24T00:00:00"/>
    <x v="2"/>
    <s v="Dime sur les dons d Ingrid, Brice et P Guillaume"/>
    <n v="22"/>
    <n v="1320"/>
  </r>
  <r>
    <d v="2024-06-24T00:00:00"/>
    <x v="2"/>
    <s v="Dime sur les 30dh de papa Guillaume"/>
    <n v="3"/>
    <n v="180"/>
  </r>
  <r>
    <d v="2024-06-25T00:00:00"/>
    <x v="3"/>
    <s v="Cremy + gateau"/>
    <n v="7"/>
    <n v="420"/>
  </r>
  <r>
    <d v="2024-06-25T00:00:00"/>
    <x v="3"/>
    <s v="2 yaourts bleu de Sarah"/>
    <n v="6"/>
    <n v="360"/>
  </r>
  <r>
    <d v="2024-06-27T00:00:00"/>
    <x v="3"/>
    <s v="Jus de citron plus 2 croissanr"/>
    <n v="15"/>
    <n v="900"/>
  </r>
  <r>
    <d v="2024-06-28T00:00:00"/>
    <x v="5"/>
    <s v="Je me suis coiffé"/>
    <n v="20"/>
    <n v="1200"/>
  </r>
  <r>
    <d v="2024-06-28T00:00:00"/>
    <x v="3"/>
    <s v="Smoozy"/>
    <n v="6"/>
    <n v="360"/>
  </r>
  <r>
    <d v="2024-06-29T00:00:00"/>
    <x v="3"/>
    <s v="Tacos avec Rebecca"/>
    <n v="50"/>
    <n v="3000"/>
  </r>
  <r>
    <d v="2024-06-30T00:00:00"/>
    <x v="4"/>
    <s v="Culte de dimanche"/>
    <n v="10"/>
    <n v="600"/>
  </r>
  <r>
    <d v="2024-06-30T00:00:00"/>
    <x v="4"/>
    <s v="Nouveaux venus dimanche"/>
    <n v="17"/>
    <n v="1020"/>
  </r>
  <r>
    <d v="2024-06-30T00:00:00"/>
    <x v="4"/>
    <s v="Transport Ange"/>
    <n v="5"/>
    <n v="300"/>
  </r>
  <r>
    <d v="2024-07-03T00:00:00"/>
    <x v="3"/>
    <s v="Bouteille d'eau 1,5L"/>
    <n v="5"/>
    <n v="300"/>
  </r>
  <r>
    <d v="2024-07-04T00:00:00"/>
    <x v="3"/>
    <s v="Smoozy"/>
    <n v="6"/>
    <n v="360"/>
  </r>
  <r>
    <d v="2024-07-04T00:00:00"/>
    <x v="3"/>
    <s v="Bouteille d'eau 1,5L"/>
    <n v="5"/>
    <n v="300"/>
  </r>
  <r>
    <d v="2024-07-04T00:00:00"/>
    <x v="2"/>
    <s v="Dime sur les 30dh de papa Guillaume"/>
    <n v="3"/>
    <n v="180"/>
  </r>
  <r>
    <d v="2024-07-07T00:00:00"/>
    <x v="4"/>
    <s v="Offrande au culte du dimanche"/>
    <n v="12"/>
    <n v="720"/>
  </r>
  <r>
    <m/>
    <x v="6"/>
    <m/>
    <m/>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4">
  <r>
    <d v="2024-01-01T00:00:00"/>
    <x v="0"/>
    <s v="Salaire"/>
    <m/>
    <n v="10000"/>
    <m/>
    <s v="Banque"/>
    <n v="1"/>
  </r>
  <r>
    <d v="2024-01-02T00:00:00"/>
    <x v="0"/>
    <s v="Don"/>
    <m/>
    <n v="700"/>
    <m/>
    <s v="Portefeuille"/>
    <n v="2"/>
  </r>
  <r>
    <d v="2024-01-03T00:00:00"/>
    <x v="0"/>
    <s v="Autres"/>
    <m/>
    <n v="1000"/>
    <m/>
    <s v="Portefeuille"/>
    <n v="3"/>
  </r>
  <r>
    <d v="2024-01-04T00:00:00"/>
    <x v="0"/>
    <s v="Freelancing"/>
    <m/>
    <n v="1500"/>
    <m/>
    <s v="Banque"/>
    <n v="4"/>
  </r>
  <r>
    <d v="2024-01-05T00:00:00"/>
    <x v="0"/>
    <s v="Freelancing"/>
    <m/>
    <n v="400"/>
    <m/>
    <s v="Banque"/>
    <n v="5"/>
  </r>
  <r>
    <d v="2024-01-06T00:00:00"/>
    <x v="0"/>
    <s v="Don"/>
    <m/>
    <n v="200"/>
    <m/>
    <s v="Portefeuille"/>
    <n v="6"/>
  </r>
  <r>
    <d v="2024-01-07T00:00:00"/>
    <x v="0"/>
    <s v="Freelancing"/>
    <m/>
    <n v="800"/>
    <m/>
    <s v="Banque"/>
    <n v="7"/>
  </r>
  <r>
    <d v="2024-02-01T00:00:00"/>
    <x v="1"/>
    <s v="Salaire"/>
    <m/>
    <n v="10000"/>
    <m/>
    <s v="Banque"/>
    <n v="8"/>
  </r>
  <r>
    <d v="2024-02-02T00:00:00"/>
    <x v="1"/>
    <s v="Freelancing"/>
    <m/>
    <n v="1000"/>
    <m/>
    <s v="Banque"/>
    <n v="9"/>
  </r>
  <r>
    <d v="2024-02-03T00:00:00"/>
    <x v="1"/>
    <s v="Freelancing"/>
    <m/>
    <n v="400"/>
    <m/>
    <s v="Banque"/>
    <n v="10"/>
  </r>
  <r>
    <d v="2024-02-04T00:00:00"/>
    <x v="1"/>
    <s v="Don"/>
    <m/>
    <n v="300"/>
    <m/>
    <s v="Portefeuille"/>
    <n v="11"/>
  </r>
  <r>
    <d v="2024-02-05T00:00:00"/>
    <x v="1"/>
    <s v="Freelancing"/>
    <m/>
    <n v="450"/>
    <m/>
    <s v="Banque"/>
    <n v="12"/>
  </r>
  <r>
    <d v="2024-03-01T00:00:00"/>
    <x v="2"/>
    <s v="Salaire"/>
    <m/>
    <n v="10200"/>
    <m/>
    <s v="Banque"/>
    <n v="13"/>
  </r>
  <r>
    <d v="2024-03-02T00:00:00"/>
    <x v="2"/>
    <s v="Freelancing"/>
    <m/>
    <n v="1300"/>
    <m/>
    <s v="Banque"/>
    <n v="14"/>
  </r>
  <r>
    <d v="2024-03-03T00:00:00"/>
    <x v="2"/>
    <s v="Freelancing"/>
    <m/>
    <n v="1000"/>
    <m/>
    <s v="Banque"/>
    <n v="15"/>
  </r>
  <r>
    <d v="2024-04-01T00:00:00"/>
    <x v="3"/>
    <s v="Salaire"/>
    <m/>
    <n v="10100"/>
    <m/>
    <s v="Banque"/>
    <n v="16"/>
  </r>
  <r>
    <d v="2024-04-22T00:00:00"/>
    <x v="3"/>
    <s v="Don"/>
    <m/>
    <n v="550"/>
    <m/>
    <s v="Portefeuille"/>
    <n v="17"/>
  </r>
  <r>
    <d v="2024-05-19T00:00:00"/>
    <x v="4"/>
    <s v="Freelancing"/>
    <m/>
    <n v="100"/>
    <m/>
    <s v="Banque"/>
    <n v="18"/>
  </r>
  <r>
    <d v="2024-06-30T00:00:00"/>
    <x v="5"/>
    <s v="Don"/>
    <m/>
    <n v="240"/>
    <m/>
    <s v="Portefeuille"/>
    <n v="19"/>
  </r>
  <r>
    <d v="2024-07-01T00:00:00"/>
    <x v="6"/>
    <s v="Salaire"/>
    <m/>
    <n v="12500"/>
    <m/>
    <s v="Banque"/>
    <n v="20"/>
  </r>
  <r>
    <d v="2024-07-02T00:00:00"/>
    <x v="6"/>
    <s v="Freelancing"/>
    <m/>
    <n v="1350"/>
    <m/>
    <s v="Banque"/>
    <n v="21"/>
  </r>
  <r>
    <d v="2024-07-15T00:00:00"/>
    <x v="6"/>
    <s v="Freelancing"/>
    <m/>
    <n v="1000"/>
    <m/>
    <s v="Banque"/>
    <n v="22"/>
  </r>
  <r>
    <d v="2024-07-16T00:00:00"/>
    <x v="6"/>
    <s v="Freelancing"/>
    <m/>
    <n v="1200"/>
    <m/>
    <s v="Banque"/>
    <n v="23"/>
  </r>
  <r>
    <d v="2024-07-17T00:00:00"/>
    <x v="6"/>
    <s v="Don"/>
    <m/>
    <n v="430"/>
    <m/>
    <s v="Portefeuille"/>
    <n v="24"/>
  </r>
  <r>
    <d v="2024-07-10T00:00:00"/>
    <x v="6"/>
    <s v="Freelancing"/>
    <m/>
    <n v="2000"/>
    <m/>
    <s v="Banque"/>
    <n v="25"/>
  </r>
  <r>
    <d v="2024-07-11T00:00:00"/>
    <x v="6"/>
    <s v="Don"/>
    <s v="Don venant d'un Ami de longue Date "/>
    <n v="230"/>
    <m/>
    <s v="Portefeuille"/>
    <n v="26"/>
  </r>
  <r>
    <d v="2024-02-04T00:00:00"/>
    <x v="1"/>
    <s v="Don"/>
    <m/>
    <n v="344"/>
    <m/>
    <s v="Portefeuille"/>
    <n v="27"/>
  </r>
  <r>
    <d v="2024-07-10T00:00:00"/>
    <x v="6"/>
    <s v="Salaire"/>
    <m/>
    <n v="2000"/>
    <m/>
    <s v="Banque"/>
    <n v="28"/>
  </r>
  <r>
    <d v="2024-07-10T00:00:00"/>
    <x v="6"/>
    <s v="Freelancing"/>
    <s v="free"/>
    <n v="3211"/>
    <m/>
    <s v="Banque"/>
    <n v="29"/>
  </r>
  <r>
    <d v="2024-07-10T00:00:00"/>
    <x v="6"/>
    <s v="Salaire"/>
    <s v="Salaire mensuel"/>
    <n v="10000"/>
    <m/>
    <s v="Banque"/>
    <n v="30"/>
  </r>
  <r>
    <d v="2024-10-10T00:00:00"/>
    <x v="7"/>
    <s v="Don"/>
    <s v="jdsjb"/>
    <n v="120"/>
    <m/>
    <s v="Portefeuille"/>
    <n v="31"/>
  </r>
  <r>
    <d v="2024-07-11T00:00:00"/>
    <x v="6"/>
    <s v="Freelancing"/>
    <s v="Freelancing"/>
    <n v="2000"/>
    <m/>
    <s v="Banque"/>
    <n v="32"/>
  </r>
  <r>
    <d v="2024-10-08T00:00:00"/>
    <x v="7"/>
    <s v="Don"/>
    <s v="Don venant d un Ami de longue date"/>
    <n v="3200"/>
    <m/>
    <s v="Portefeuille"/>
    <n v="33"/>
  </r>
  <r>
    <d v="2024-10-08T00:00:00"/>
    <x v="7"/>
    <s v="Don"/>
    <s v="Don venant d'una maman de l'église "/>
    <n v="320"/>
    <m/>
    <s v="Portefeuille"/>
    <n v="34"/>
  </r>
  <r>
    <d v="2024-09-11T00:00:00"/>
    <x v="8"/>
    <s v="Salaire"/>
    <s v="nnnnnnnnn"/>
    <n v="13000"/>
    <n v="780000"/>
    <s v="Banque"/>
    <n v="35"/>
  </r>
  <r>
    <d v="2024-12-11T00:00:00"/>
    <x v="9"/>
    <s v="Salaire"/>
    <s v="ddddddddd"/>
    <n v="14000"/>
    <n v="840000"/>
    <s v="Banque"/>
    <n v="36"/>
  </r>
  <r>
    <d v="2024-06-11T00:00:00"/>
    <x v="5"/>
    <s v="Freelancing"/>
    <s v="freeeee"/>
    <n v="1000"/>
    <n v="60000"/>
    <s v="Banque"/>
    <n v="37"/>
  </r>
  <r>
    <d v="2024-07-11T00:00:00"/>
    <x v="6"/>
    <s v="Salaire"/>
    <s v="gvgv"/>
    <n v="55"/>
    <n v="3300"/>
    <s v="Banque"/>
    <n v="38"/>
  </r>
  <r>
    <d v="2024-07-11T00:00:00"/>
    <x v="6"/>
    <s v="Salaire"/>
    <s v="hbhbh"/>
    <n v="66"/>
    <n v="3960"/>
    <s v="Banque"/>
    <n v="39"/>
  </r>
  <r>
    <d v="2024-08-01T00:00:00"/>
    <x v="10"/>
    <s v="Don"/>
    <s v="kewgiwg"/>
    <n v="200"/>
    <n v="131191.4"/>
    <s v="Portefeuille"/>
    <n v="40"/>
  </r>
  <r>
    <d v="2024-08-06T00:00:00"/>
    <x v="10"/>
    <s v="Don"/>
    <s v="wfewgjbrg"/>
    <n v="200"/>
    <n v="131191.4"/>
    <s v="Portefeuille"/>
    <n v="41"/>
  </r>
  <r>
    <d v="2024-08-06T00:00:00"/>
    <x v="10"/>
    <s v="Don"/>
    <m/>
    <n v="200"/>
    <n v="131191.4"/>
    <s v="Portefeuille"/>
    <n v="42"/>
  </r>
  <r>
    <d v="2024-07-02T00:00:00"/>
    <x v="6"/>
    <s v="Don"/>
    <s v="kndsg"/>
    <n v="23"/>
    <n v="15087.011"/>
    <s v="Portefeuille"/>
    <n v="43"/>
  </r>
  <r>
    <d v="2024-03-02T00:00:00"/>
    <x v="2"/>
    <s v="Don"/>
    <s v="kjdsb"/>
    <n v="200"/>
    <n v="131191.4"/>
    <s v="Portefeuille"/>
    <n v="44"/>
  </r>
  <r>
    <d v="2024-08-02T00:00:00"/>
    <x v="10"/>
    <s v="Don"/>
    <s v="adfjbf"/>
    <n v="200"/>
    <n v="131191.4"/>
    <s v="Portefeuille"/>
    <n v="45"/>
  </r>
  <r>
    <d v="2024-08-07T00:00:00"/>
    <x v="10"/>
    <s v="Don"/>
    <s v="bbbbbbbbb"/>
    <n v="100"/>
    <n v="65595.7"/>
    <s v="Portefeuille"/>
    <n v="46"/>
  </r>
  <r>
    <d v="2024-10-09T00:00:00"/>
    <x v="7"/>
    <s v="Autres"/>
    <s v="kkkkkkkkkkkkkkkkkkkakpeu"/>
    <n v="300"/>
    <n v="18000"/>
    <s v="Portefeuille"/>
    <n v="47"/>
  </r>
  <r>
    <d v="2024-07-25T00:00:00"/>
    <x v="6"/>
    <s v="Salaire"/>
    <s v="GOOD"/>
    <n v="1000"/>
    <n v="60000"/>
    <s v="Banque"/>
    <n v="48"/>
  </r>
  <r>
    <d v="2024-07-25T00:00:00"/>
    <x v="6"/>
    <s v="Freelancing"/>
    <s v="YES"/>
    <n v="200"/>
    <n v="12000"/>
    <s v="Banque"/>
    <n v="49"/>
  </r>
  <r>
    <d v="2024-11-25T00:00:00"/>
    <x v="11"/>
    <s v="Salaire"/>
    <s v="SALAIRE"/>
    <n v="13000"/>
    <n v="780000"/>
    <s v="Banque"/>
    <n v="50"/>
  </r>
  <r>
    <d v="2024-02-26T00:00:00"/>
    <x v="1"/>
    <s v="Salaire"/>
    <m/>
    <n v="10000"/>
    <n v="600000"/>
    <s v="Banque"/>
    <n v="51"/>
  </r>
  <r>
    <d v="2024-07-26T00:00:00"/>
    <x v="6"/>
    <s v="Don"/>
    <s v="TEST"/>
    <n v="2"/>
    <n v="120"/>
    <s v="Portefeuille"/>
    <n v="52"/>
  </r>
  <r>
    <d v="2024-11-26T00:00:00"/>
    <x v="11"/>
    <s v="Salaire"/>
    <s v="Salaire Novembre"/>
    <n v="10000"/>
    <n v="600000"/>
    <s v="Banque"/>
    <n v="53"/>
  </r>
  <r>
    <d v="2024-08-27T00:00:00"/>
    <x v="10"/>
    <s v="Don"/>
    <s v="Don venant d'une personne"/>
    <n v="100"/>
    <n v="6000"/>
    <s v="Portefeuille"/>
    <n v="5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9DC67A1-A331-4781-880B-A7F2EE443031}" name="PivotTable1" cacheId="1121" applyNumberFormats="0" applyBorderFormats="0" applyFontFormats="0" applyPatternFormats="0" applyAlignmentFormats="0" applyWidthHeightFormats="1" dataCaption="Values" tag="ae03ab78-ce45-4bbc-aa06-d7c30cbf0bea" updatedVersion="8" minRefreshableVersion="3" useAutoFormatting="1" itemPrintTitles="1" createdVersion="8" indent="0" outline="1" outlineData="1" multipleFieldFilters="0">
  <location ref="A150:I163" firstHeaderRow="0" firstDataRow="1" firstDataCol="1"/>
  <pivotFields count="9">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Fields count="1">
    <field x="0"/>
  </rowFields>
  <rowItems count="13">
    <i>
      <x/>
    </i>
    <i>
      <x v="1"/>
    </i>
    <i>
      <x v="2"/>
    </i>
    <i>
      <x v="3"/>
    </i>
    <i>
      <x v="4"/>
    </i>
    <i>
      <x v="5"/>
    </i>
    <i>
      <x v="6"/>
    </i>
    <i>
      <x v="7"/>
    </i>
    <i>
      <x v="8"/>
    </i>
    <i>
      <x v="9"/>
    </i>
    <i>
      <x v="10"/>
    </i>
    <i>
      <x v="11"/>
    </i>
    <i t="grand">
      <x/>
    </i>
  </rowItems>
  <colFields count="1">
    <field x="-2"/>
  </colFields>
  <colItems count="8">
    <i>
      <x/>
    </i>
    <i i="1">
      <x v="1"/>
    </i>
    <i i="2">
      <x v="2"/>
    </i>
    <i i="3">
      <x v="3"/>
    </i>
    <i i="4">
      <x v="4"/>
    </i>
    <i i="5">
      <x v="5"/>
    </i>
    <i i="6">
      <x v="6"/>
    </i>
    <i i="7">
      <x v="7"/>
    </i>
  </colItems>
  <dataFields count="8">
    <dataField fld="1" subtotal="count" baseField="0" baseItem="0"/>
    <dataField fld="2" subtotal="count" baseField="0" baseItem="0"/>
    <dataField fld="3" subtotal="count" baseField="0" baseItem="0"/>
    <dataField fld="4" subtotal="count" baseField="0" baseItem="0"/>
    <dataField fld="5" subtotal="count" baseField="0" baseItem="0"/>
    <dataField fld="6" subtotal="count" baseField="0" baseItem="0"/>
    <dataField fld="7" subtotal="count" baseField="0" baseItem="0"/>
    <dataField fld="8" subtotal="count" baseField="0" baseItem="0"/>
  </dataFields>
  <pivotHierarchies count="11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Date]"/>
        <x15:activeTabTopLevelEntity name="[revenuXYZ]"/>
        <x15:activeTabTopLevelEntity name="[revenue]"/>
        <x15:activeTabTopLevelEntity name="[depens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C2D23D1-96B6-4684-9AB2-A090E081C362}" name="PivotTable18" cacheId="1088" applyNumberFormats="0" applyBorderFormats="0" applyFontFormats="0" applyPatternFormats="0" applyAlignmentFormats="0" applyWidthHeightFormats="1" dataCaption="Values" tag="52e55d15-46e5-4387-9562-dda74a0dd707" updatedVersion="8" minRefreshableVersion="3" useAutoFormatting="1" subtotalHiddenItems="1" itemPrintTitles="1" createdVersion="8" indent="0" outline="1" outlineData="1" multipleFieldFilters="0" chartFormat="3">
  <location ref="L37:M41" firstHeaderRow="1" firstDataRow="1" firstDataCol="1"/>
  <pivotFields count="5">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4">
    <i>
      <x/>
    </i>
    <i>
      <x v="1"/>
    </i>
    <i>
      <x v="2"/>
    </i>
    <i t="grand">
      <x/>
    </i>
  </rowItems>
  <colItems count="1">
    <i/>
  </colItems>
  <dataFields count="1">
    <dataField fld="0" subtotal="count" baseField="0" baseItem="0"/>
  </dataFields>
  <chartFormats count="10">
    <chartFormat chart="0" format="0" series="1">
      <pivotArea type="data" outline="0" fieldPosition="0">
        <references count="1">
          <reference field="4294967294" count="1" selected="0">
            <x v="0"/>
          </reference>
        </references>
      </pivotArea>
    </chartFormat>
    <chartFormat chart="2" format="8" series="1">
      <pivotArea type="data" outline="0" fieldPosition="0">
        <references count="1">
          <reference field="4294967294" count="1" selected="0">
            <x v="0"/>
          </reference>
        </references>
      </pivotArea>
    </chartFormat>
    <chartFormat chart="2" format="10">
      <pivotArea type="data" outline="0" fieldPosition="0">
        <references count="2">
          <reference field="4294967294" count="1" selected="0">
            <x v="0"/>
          </reference>
          <reference field="1" count="1" selected="0">
            <x v="3"/>
          </reference>
        </references>
      </pivotArea>
    </chartFormat>
    <chartFormat chart="2" format="11">
      <pivotArea type="data" outline="0" fieldPosition="0">
        <references count="2">
          <reference field="4294967294" count="1" selected="0">
            <x v="0"/>
          </reference>
          <reference field="1" count="1" selected="0">
            <x v="0"/>
          </reference>
        </references>
      </pivotArea>
    </chartFormat>
    <chartFormat chart="2" format="13">
      <pivotArea type="data" outline="0" fieldPosition="0">
        <references count="2">
          <reference field="4294967294" count="1" selected="0">
            <x v="0"/>
          </reference>
          <reference field="1" count="1" selected="0">
            <x v="1"/>
          </reference>
        </references>
      </pivotArea>
    </chartFormat>
    <chartFormat chart="2" format="14">
      <pivotArea type="data" outline="0" fieldPosition="0">
        <references count="2">
          <reference field="4294967294" count="1" selected="0">
            <x v="0"/>
          </reference>
          <reference field="1" count="1" selected="0">
            <x v="2"/>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0"/>
          </reference>
        </references>
      </pivotArea>
    </chartFormat>
    <chartFormat chart="0" format="3">
      <pivotArea type="data" outline="0" fieldPosition="0">
        <references count="2">
          <reference field="4294967294" count="1" selected="0">
            <x v="0"/>
          </reference>
          <reference field="1" count="1" selected="0">
            <x v="1"/>
          </reference>
        </references>
      </pivotArea>
    </chartFormat>
    <chartFormat chart="0" format="4">
      <pivotArea type="data" outline="0" fieldPosition="0">
        <references count="2">
          <reference field="4294967294" count="1" selected="0">
            <x v="0"/>
          </reference>
          <reference field="1" count="1" selected="0">
            <x v="2"/>
          </reference>
        </references>
      </pivotArea>
    </chartFormat>
  </chartFormats>
  <pivotHierarchies count="113">
    <pivotHierarchy dragToData="1"/>
    <pivotHierarchy multipleItemSelectionAllowed="1" dragToData="1">
      <members count="1" level="1">
        <member name="[Date].[Date (Year)].&amp;[2024]"/>
      </members>
    </pivotHierarchy>
    <pivotHierarchy dragToData="1"/>
    <pivotHierarchy multipleItemSelectionAllowed="1" dragToData="1">
      <members count="1" level="1">
        <member name="[Date].[Date (Month)].&amp;[juil]"/>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7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evenuXYZ]"/>
        <x15:activeTabTopLevelEntity name="[Date]"/>
        <x15:activeTabTopLevelEntity name="[depens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8D9890A-64E8-4AC7-8AA5-5041600DCF92}" name="PivotTable21" cacheId="1097" applyNumberFormats="0" applyBorderFormats="0" applyFontFormats="0" applyPatternFormats="0" applyAlignmentFormats="0" applyWidthHeightFormats="1" dataCaption="Values" tag="28bf26ab-4b33-4005-b73a-0cfc77d142d6" updatedVersion="8" minRefreshableVersion="3" useAutoFormatting="1" itemPrintTitles="1" createdVersion="8" indent="0" outline="1" outlineData="1" multipleFieldFilters="0">
  <location ref="J93:K95" firstHeaderRow="1" firstDataRow="1" firstDataCol="1"/>
  <pivotFields count="5">
    <pivotField axis="axisRow" allDrilled="1" subtotalTop="0" showAll="0" dataSourceSort="1" defaultSubtotal="0" defaultAttributeDrillState="1">
      <items count="1">
        <item s="1" x="0"/>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2">
    <i>
      <x/>
    </i>
    <i t="grand">
      <x/>
    </i>
  </rowItems>
  <colItems count="1">
    <i/>
  </colItems>
  <dataFields count="1">
    <dataField fld="1" subtotal="count" baseField="0" baseItem="0"/>
  </dataFields>
  <pivotHierarchies count="113">
    <pivotHierarchy dragToData="1"/>
    <pivotHierarchy multipleItemSelectionAllowed="1" dragToData="1">
      <members count="1" level="1">
        <member name="[Date].[Date (Year)].&amp;[2024]"/>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pense]"/>
        <x15:activeTabTopLevelEntity name="[Date]"/>
        <x15:activeTabTopLevelEntity name="[revenuXYZ]"/>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67F14EA-7168-4807-B6C7-96668963F596}"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19:B27" firstHeaderRow="1" firstDataRow="1" firstDataCol="1"/>
  <pivotFields count="5">
    <pivotField showAll="0"/>
    <pivotField name="Categories" axis="axisRow" showAll="0">
      <items count="8">
        <item x="5"/>
        <item x="2"/>
        <item x="1"/>
        <item x="3"/>
        <item x="4"/>
        <item x="0"/>
        <item x="6"/>
        <item t="default"/>
      </items>
    </pivotField>
    <pivotField showAll="0"/>
    <pivotField dataField="1" showAll="0"/>
    <pivotField showAll="0"/>
  </pivotFields>
  <rowFields count="1">
    <field x="1"/>
  </rowFields>
  <rowItems count="8">
    <i>
      <x/>
    </i>
    <i>
      <x v="1"/>
    </i>
    <i>
      <x v="2"/>
    </i>
    <i>
      <x v="3"/>
    </i>
    <i>
      <x v="4"/>
    </i>
    <i>
      <x v="5"/>
    </i>
    <i>
      <x v="6"/>
    </i>
    <i t="grand">
      <x/>
    </i>
  </rowItems>
  <colItems count="1">
    <i/>
  </colItems>
  <dataFields count="1">
    <dataField name="les depenses" fld="3" baseField="1" baseItem="0"/>
  </dataField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0"/>
          </reference>
        </references>
      </pivotArea>
    </chartFormat>
    <chartFormat chart="0" format="2">
      <pivotArea type="data" outline="0" fieldPosition="0">
        <references count="2">
          <reference field="4294967294" count="1" selected="0">
            <x v="0"/>
          </reference>
          <reference field="1" count="1" selected="0">
            <x v="1"/>
          </reference>
        </references>
      </pivotArea>
    </chartFormat>
    <chartFormat chart="0" format="3">
      <pivotArea type="data" outline="0" fieldPosition="0">
        <references count="2">
          <reference field="4294967294" count="1" selected="0">
            <x v="0"/>
          </reference>
          <reference field="1" count="1" selected="0">
            <x v="2"/>
          </reference>
        </references>
      </pivotArea>
    </chartFormat>
    <chartFormat chart="0" format="4">
      <pivotArea type="data" outline="0" fieldPosition="0">
        <references count="2">
          <reference field="4294967294" count="1" selected="0">
            <x v="0"/>
          </reference>
          <reference field="1" count="1" selected="0">
            <x v="3"/>
          </reference>
        </references>
      </pivotArea>
    </chartFormat>
    <chartFormat chart="0" format="5">
      <pivotArea type="data" outline="0" fieldPosition="0">
        <references count="2">
          <reference field="4294967294" count="1" selected="0">
            <x v="0"/>
          </reference>
          <reference field="1" count="1" selected="0">
            <x v="4"/>
          </reference>
        </references>
      </pivotArea>
    </chartFormat>
    <chartFormat chart="0" format="6">
      <pivotArea type="data" outline="0" fieldPosition="0">
        <references count="2">
          <reference field="4294967294" count="1" selected="0">
            <x v="0"/>
          </reference>
          <reference field="1" count="1" selected="0">
            <x v="5"/>
          </reference>
        </references>
      </pivotArea>
    </chartFormat>
    <chartFormat chart="0" format="7">
      <pivotArea type="data" outline="0" fieldPosition="0">
        <references count="2">
          <reference field="4294967294" count="1" selected="0">
            <x v="0"/>
          </reference>
          <reference field="1"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EB458C8-818F-4994-9EA5-813362B217B4}" name="PivotTable14" cacheId="86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55:A57" firstHeaderRow="1" firstDataRow="1" firstDataCol="1"/>
  <pivotFields count="8">
    <pivotField numFmtId="16" showAll="0"/>
    <pivotField axis="axisRow" numFmtId="1" showAll="0">
      <items count="13">
        <item x="0"/>
        <item h="1" x="1"/>
        <item h="1" x="2"/>
        <item h="1" x="3"/>
        <item h="1" x="4"/>
        <item h="1" x="5"/>
        <item h="1" x="6"/>
        <item h="1" x="10"/>
        <item h="1" x="8"/>
        <item h="1" x="7"/>
        <item h="1" x="11"/>
        <item h="1" x="9"/>
        <item t="default"/>
      </items>
    </pivotField>
    <pivotField showAll="0"/>
    <pivotField showAll="0"/>
    <pivotField showAll="0"/>
    <pivotField showAll="0"/>
    <pivotField showAll="0"/>
    <pivotField showAll="0"/>
  </pivotFields>
  <rowFields count="1">
    <field x="1"/>
  </rowFields>
  <rowItems count="2">
    <i>
      <x/>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BADFA3A-F204-44C6-9908-CA42B052D395}" name="PivotTable13" cacheId="86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6:C53" firstHeaderRow="1" firstDataRow="1" firstDataCol="0"/>
  <pivotFields count="8">
    <pivotField numFmtId="16" showAll="0"/>
    <pivotField numFmtId="1" showAll="0"/>
    <pivotField showAll="0"/>
    <pivotField showAll="0"/>
    <pivotField showAll="0"/>
    <pivotField showAll="0"/>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8FA0362-E3B2-4D8B-8C9C-12789C153921}"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B9" firstHeaderRow="1" firstDataRow="1" firstDataCol="1"/>
  <pivotFields count="2">
    <pivotField axis="axisRow" showAll="0">
      <items count="6">
        <item x="2"/>
        <item x="1"/>
        <item x="3"/>
        <item x="4"/>
        <item x="0"/>
        <item t="default"/>
      </items>
    </pivotField>
    <pivotField dataField="1" showAll="0"/>
  </pivotFields>
  <rowFields count="1">
    <field x="0"/>
  </rowFields>
  <rowItems count="6">
    <i>
      <x/>
    </i>
    <i>
      <x v="1"/>
    </i>
    <i>
      <x v="2"/>
    </i>
    <i>
      <x v="3"/>
    </i>
    <i>
      <x v="4"/>
    </i>
    <i t="grand">
      <x/>
    </i>
  </rowItems>
  <colItems count="1">
    <i/>
  </colItems>
  <dataFields count="1">
    <dataField name="Sum of Amount" fld="1" baseField="0" baseItem="0"/>
  </dataFields>
  <chartFormats count="12">
    <chartFormat chart="0" format="0" series="1">
      <pivotArea type="data" outline="0" fieldPosition="0">
        <references count="1">
          <reference field="4294967294" count="1" selected="0">
            <x v="0"/>
          </reference>
        </references>
      </pivotArea>
    </chartFormat>
    <chartFormat chart="6" format="7" series="1">
      <pivotArea type="data" outline="0" fieldPosition="0">
        <references count="1">
          <reference field="4294967294" count="1" selected="0">
            <x v="0"/>
          </reference>
        </references>
      </pivotArea>
    </chartFormat>
    <chartFormat chart="6" format="8">
      <pivotArea type="data" outline="0" fieldPosition="0">
        <references count="2">
          <reference field="4294967294" count="1" selected="0">
            <x v="0"/>
          </reference>
          <reference field="0" count="1" selected="0">
            <x v="0"/>
          </reference>
        </references>
      </pivotArea>
    </chartFormat>
    <chartFormat chart="6" format="9">
      <pivotArea type="data" outline="0" fieldPosition="0">
        <references count="2">
          <reference field="4294967294" count="1" selected="0">
            <x v="0"/>
          </reference>
          <reference field="0" count="1" selected="0">
            <x v="1"/>
          </reference>
        </references>
      </pivotArea>
    </chartFormat>
    <chartFormat chart="6" format="10">
      <pivotArea type="data" outline="0" fieldPosition="0">
        <references count="2">
          <reference field="4294967294" count="1" selected="0">
            <x v="0"/>
          </reference>
          <reference field="0" count="1" selected="0">
            <x v="2"/>
          </reference>
        </references>
      </pivotArea>
    </chartFormat>
    <chartFormat chart="6" format="11">
      <pivotArea type="data" outline="0" fieldPosition="0">
        <references count="2">
          <reference field="4294967294" count="1" selected="0">
            <x v="0"/>
          </reference>
          <reference field="0" count="1" selected="0">
            <x v="3"/>
          </reference>
        </references>
      </pivotArea>
    </chartFormat>
    <chartFormat chart="6" format="12">
      <pivotArea type="data" outline="0" fieldPosition="0">
        <references count="2">
          <reference field="4294967294" count="1" selected="0">
            <x v="0"/>
          </reference>
          <reference field="0" count="1" selected="0">
            <x v="4"/>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 chart="0" format="3">
      <pivotArea type="data" outline="0" fieldPosition="0">
        <references count="2">
          <reference field="4294967294" count="1" selected="0">
            <x v="0"/>
          </reference>
          <reference field="0" count="1" selected="0">
            <x v="2"/>
          </reference>
        </references>
      </pivotArea>
    </chartFormat>
    <chartFormat chart="0" format="4">
      <pivotArea type="data" outline="0" fieldPosition="0">
        <references count="2">
          <reference field="4294967294" count="1" selected="0">
            <x v="0"/>
          </reference>
          <reference field="0" count="1" selected="0">
            <x v="3"/>
          </reference>
        </references>
      </pivotArea>
    </chartFormat>
    <chartFormat chart="0" format="5">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96F5A20-B988-4159-85E8-E886747DB3CE}" name="PivotTable15" cacheId="1106" applyNumberFormats="0" applyBorderFormats="0" applyFontFormats="0" applyPatternFormats="0" applyAlignmentFormats="0" applyWidthHeightFormats="1" dataCaption="Values" tag="cee34d93-f1d8-45cd-91ff-5ae2cabad6f2" updatedVersion="8" minRefreshableVersion="3" useAutoFormatting="1" subtotalHiddenItems="1" itemPrintTitles="1" createdVersion="8" indent="0" outline="1" outlineData="1" multipleFieldFilters="0" chartFormat="3">
  <location ref="AA68:AC74" firstHeaderRow="0" firstDataRow="1" firstDataCol="1"/>
  <pivotFields count="7">
    <pivotField dataField="1" subtotalTop="0" showAll="0" defaultSubtotal="0"/>
    <pivotField dataField="1" subtotalTop="0" showAll="0" defaultSubtotal="0"/>
    <pivotField axis="axisRow" allDrilled="1" subtotalTop="0" showAll="0" dataSourceSort="1" defaultSubtotal="0" defaultAttributeDrillState="1">
      <items count="1">
        <item s="1" x="0"/>
      </items>
    </pivotField>
    <pivotField allDrilled="1" subtotalTop="0" showAll="0" dataSourceSort="1" defaultSubtotal="0" defaultAttributeDrillState="1"/>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 allDrilled="1" subtotalTop="0" showAll="0" dataSourceSort="1" defaultSubtotal="0" defaultAttributeDrillState="1"/>
  </pivotFields>
  <rowFields count="2">
    <field x="2"/>
    <field x="4"/>
  </rowFields>
  <rowItems count="6">
    <i>
      <x/>
    </i>
    <i r="1">
      <x/>
    </i>
    <i r="1">
      <x v="1"/>
    </i>
    <i r="1">
      <x v="2"/>
    </i>
    <i r="1">
      <x v="3"/>
    </i>
    <i t="grand">
      <x/>
    </i>
  </rowItems>
  <colFields count="1">
    <field x="-2"/>
  </colFields>
  <colItems count="2">
    <i>
      <x/>
    </i>
    <i i="1">
      <x v="1"/>
    </i>
  </colItems>
  <dataFields count="2">
    <dataField name="Depense" fld="0" subtotal="count" baseField="0" baseItem="0"/>
    <dataField name="Difference" fld="1" subtotal="count" baseField="0" baseItem="0"/>
  </dataFields>
  <chartFormats count="4">
    <chartFormat chart="0" format="1"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 chart="2" format="7" series="1">
      <pivotArea type="data" outline="0" fieldPosition="0">
        <references count="1">
          <reference field="4294967294" count="1" selected="0">
            <x v="0"/>
          </reference>
        </references>
      </pivotArea>
    </chartFormat>
    <chartFormat chart="2" format="8" series="1">
      <pivotArea type="data" outline="0" fieldPosition="0">
        <references count="1">
          <reference field="4294967294" count="1" selected="0">
            <x v="1"/>
          </reference>
        </references>
      </pivotArea>
    </chartFormat>
  </chartFormats>
  <pivotHierarchies count="113">
    <pivotHierarchy dragToData="1"/>
    <pivotHierarchy multipleItemSelectionAllowed="1" dragToData="1">
      <members count="1" level="1">
        <member name="[Date].[Date (Year)].&amp;[2024]"/>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Revenue"/>
    <pivotHierarchy dragToRow="0" dragToCol="0" dragToPage="0" dragToData="1" caption="Depense"/>
    <pivotHierarchy dragToRow="0" dragToCol="0" dragToPage="0" dragToData="1" caption="Differenc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3"/>
    <rowHierarchyUsage hierarchyUsage="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revenuXYZ]"/>
        <x15:activeTabTopLevelEntity name="[depense]"/>
        <x15:activeTabTopLevelEntity name="[revenu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1CD7F2A-E6BA-44F5-A392-80616C789539}" name="PivotTable25" cacheId="1109" applyNumberFormats="0" applyBorderFormats="0" applyFontFormats="0" applyPatternFormats="0" applyAlignmentFormats="0" applyWidthHeightFormats="1" dataCaption="Values" tag="c9944dae-4180-4e38-9dde-ef9c790ed160" updatedVersion="8" minRefreshableVersion="3" useAutoFormatting="1" itemPrintTitles="1" createdVersion="8" indent="0" outline="1" outlineData="1" multipleFieldFilters="0" chartFormat="1">
  <location ref="D137:E140" firstHeaderRow="1" firstDataRow="1" firstDataCol="1"/>
  <pivotFields count="2">
    <pivotField axis="axisRow" allDrilled="1" subtotalTop="0" showAll="0" dataSourceSort="1" defaultSubtotal="0" defaultAttributeDrillState="1">
      <items count="2">
        <item x="0"/>
        <item x="1"/>
      </items>
    </pivotField>
    <pivotField dataField="1" subtotalTop="0" showAll="0" defaultSubtotal="0"/>
  </pivotFields>
  <rowFields count="1">
    <field x="0"/>
  </rowFields>
  <rowItems count="3">
    <i>
      <x/>
    </i>
    <i>
      <x v="1"/>
    </i>
    <i t="grand">
      <x/>
    </i>
  </rowItems>
  <colItems count="1">
    <i/>
  </colItems>
  <dataFields count="1">
    <dataField fld="1" subtotal="count" baseField="0" baseItem="0"/>
  </dataFields>
  <chartFormats count="1">
    <chartFormat chart="0" format="0" series="1">
      <pivotArea type="data" outline="0" fieldPosition="0">
        <references count="1">
          <reference field="4294967294" count="1" selected="0">
            <x v="0"/>
          </reference>
        </references>
      </pivotArea>
    </chartFormat>
  </chartFormats>
  <pivotHierarchies count="11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pens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2AB03AA-48AD-489A-93E6-47F03E87EDBB}" name="PivotTable23" cacheId="1100" applyNumberFormats="0" applyBorderFormats="0" applyFontFormats="0" applyPatternFormats="0" applyAlignmentFormats="0" applyWidthHeightFormats="1" dataCaption="Values" tag="c94f4ade-8473-4b50-b3ae-3669b17d9852" updatedVersion="8" minRefreshableVersion="3" useAutoFormatting="1" itemPrintTitles="1" createdVersion="8" indent="0" outline="1" outlineData="1" multipleFieldFilters="0">
  <location ref="Q71:Q72" firstHeaderRow="1" firstDataRow="1" firstDataCol="0"/>
  <pivotFields count="5">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Average of montant" fld="0" subtotal="average" baseField="0" baseItem="0"/>
  </dataFields>
  <pivotHierarchies count="113">
    <pivotHierarchy dragToData="1"/>
    <pivotHierarchy multipleItemSelectionAllowed="1" dragToData="1">
      <members count="1" level="1">
        <member name="[Date].[Date (Year)].&amp;[2024]"/>
      </members>
    </pivotHierarchy>
    <pivotHierarchy dragToData="1"/>
    <pivotHierarchy multipleItemSelectionAllowed="1" dragToData="1">
      <members count="1" level="1">
        <member name="[Date].[Date (Month)].&amp;[juil]"/>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montan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pense]"/>
        <x15:activeTabTopLevelEntity name="[Date]"/>
        <x15:activeTabTopLevelEntity name="[revenuXYZ]"/>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184A567A-4B30-42E3-8DF7-E72D06187CA9}" name="PivotTable19" cacheId="1094" applyNumberFormats="0" applyBorderFormats="0" applyFontFormats="0" applyPatternFormats="0" applyAlignmentFormats="0" applyWidthHeightFormats="1" dataCaption="Values" tag="fc3f5709-6724-4789-812a-5c2801acdad2" updatedVersion="8" minRefreshableVersion="3" useAutoFormatting="1" itemPrintTitles="1" createdVersion="8" indent="0" outline="1" outlineData="1" multipleFieldFilters="0">
  <location ref="F93:G95" firstHeaderRow="1" firstDataRow="1" firstDataCol="1"/>
  <pivotFields count="5">
    <pivotField dataField="1" subtotalTop="0" showAll="0" defaultSubtotal="0"/>
    <pivotField axis="axisRow" allDrilled="1" subtotalTop="0" showAll="0" dataSourceSort="1" defaultSubtotal="0" defaultAttributeDrillState="1">
      <items count="1">
        <item s="1" x="0"/>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2">
    <i>
      <x/>
    </i>
    <i t="grand">
      <x/>
    </i>
  </rowItems>
  <colItems count="1">
    <i/>
  </colItems>
  <dataFields count="1">
    <dataField fld="0" subtotal="count" baseField="0" baseItem="0"/>
  </dataFields>
  <pivotHierarchies count="113">
    <pivotHierarchy dragToData="1"/>
    <pivotHierarchy multipleItemSelectionAllowed="1" dragToData="1">
      <members count="1" level="1">
        <member name="[Date].[Date (Year)].&amp;[2024]"/>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pense]"/>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9FCED34-1644-46E3-97D9-6AD2476DA61B}" name="PivotTable17" cacheId="1085" applyNumberFormats="0" applyBorderFormats="0" applyFontFormats="0" applyPatternFormats="0" applyAlignmentFormats="0" applyWidthHeightFormats="1" dataCaption="Values" tag="5c0dfb66-f35d-4852-baa9-5f9236245097" updatedVersion="8" minRefreshableVersion="3" useAutoFormatting="1" subtotalHiddenItems="1" itemPrintTitles="1" createdVersion="8" indent="0" outline="1" outlineData="1" multipleFieldFilters="0">
  <location ref="A88:C89" firstHeaderRow="0" firstDataRow="1" firstDataCol="0"/>
  <pivotFields count="7">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3">
    <i>
      <x/>
    </i>
    <i i="1">
      <x v="1"/>
    </i>
    <i i="2">
      <x v="2"/>
    </i>
  </colItems>
  <dataFields count="3">
    <dataField fld="0" subtotal="count" baseField="0" baseItem="0"/>
    <dataField fld="1" subtotal="count" baseField="0" baseItem="0"/>
    <dataField fld="2" subtotal="count" baseField="0" baseItem="0"/>
  </dataFields>
  <pivotHierarchies count="113">
    <pivotHierarchy dragToData="1"/>
    <pivotHierarchy multipleItemSelectionAllowed="1" dragToData="1">
      <members count="1" level="1">
        <member name="[Date].[Date (Year)].&amp;[2024]"/>
      </members>
    </pivotHierarchy>
    <pivotHierarchy dragToData="1"/>
    <pivotHierarchy multipleItemSelectionAllowed="1" dragToData="1">
      <members count="1" level="1">
        <member name="[Date].[Date (Month)].&amp;[juil]"/>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pense]"/>
        <x15:activeTabTopLevelEntity name="[revenuXYZ]"/>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3BB93A47-9712-494D-8F34-6A64DAF2C86B}" name="PivotTable24" cacheId="1112" applyNumberFormats="0" applyBorderFormats="0" applyFontFormats="0" applyPatternFormats="0" applyAlignmentFormats="0" applyWidthHeightFormats="1" dataCaption="Values" tag="e1ae4145-43bf-4317-b7bf-2429abb96d5e" updatedVersion="8" minRefreshableVersion="3" useAutoFormatting="1" itemPrintTitles="1" createdVersion="8" indent="0" outline="1" outlineData="1" multipleFieldFilters="0">
  <location ref="A137:B140" firstHeaderRow="1" firstDataRow="1" firstDataCol="1"/>
  <pivotFields count="2">
    <pivotField dataField="1" subtotalTop="0" showAll="0" defaultSubtotal="0"/>
    <pivotField axis="axisRow" allDrilled="1" subtotalTop="0" showAll="0" dataSourceSort="1" defaultSubtotal="0" defaultAttributeDrillState="1">
      <items count="2">
        <item x="0"/>
        <item x="1"/>
      </items>
    </pivotField>
  </pivotFields>
  <rowFields count="1">
    <field x="1"/>
  </rowFields>
  <rowItems count="3">
    <i>
      <x/>
    </i>
    <i>
      <x v="1"/>
    </i>
    <i t="grand">
      <x/>
    </i>
  </rowItems>
  <colItems count="1">
    <i/>
  </colItems>
  <dataFields count="1">
    <dataField fld="0" subtotal="count" baseField="0" baseItem="0"/>
  </dataFields>
  <pivotHierarchies count="11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7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pense]"/>
        <x15:activeTabTopLevelEntity name="[revenuXYZ]"/>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CF8C2495-13A6-47AC-9CF4-D81DC31CE57B}" name="PivotTable16" cacheId="1082" applyNumberFormats="0" applyBorderFormats="0" applyFontFormats="0" applyPatternFormats="0" applyAlignmentFormats="0" applyWidthHeightFormats="1" dataCaption="Values" tag="a84e857c-afcf-4afa-ba78-0b3c2197fb7a" updatedVersion="8" minRefreshableVersion="3" useAutoFormatting="1" subtotalHiddenItems="1" itemPrintTitles="1" createdVersion="8" indent="0" outline="1" outlineData="1" multipleFieldFilters="0" chartFormat="5">
  <location ref="A112:B120" firstHeaderRow="1" firstDataRow="1" firstDataCol="1"/>
  <pivotFields count="5">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8">
    <i>
      <x/>
    </i>
    <i>
      <x v="1"/>
    </i>
    <i>
      <x v="2"/>
    </i>
    <i>
      <x v="3"/>
    </i>
    <i>
      <x v="4"/>
    </i>
    <i>
      <x v="5"/>
    </i>
    <i>
      <x v="6"/>
    </i>
    <i t="grand">
      <x/>
    </i>
  </rowItems>
  <colItems count="1">
    <i/>
  </colItems>
  <dataFields count="1">
    <dataField name="Sum of montant" fld="1" baseField="0" baseItem="0"/>
  </dataFields>
  <chartFormats count="2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6"/>
          </reference>
        </references>
      </pivotArea>
    </chartFormat>
    <chartFormat chart="0" format="2">
      <pivotArea type="data" outline="0" fieldPosition="0">
        <references count="2">
          <reference field="4294967294" count="1" selected="0">
            <x v="0"/>
          </reference>
          <reference field="0" count="1" selected="0">
            <x v="0"/>
          </reference>
        </references>
      </pivotArea>
    </chartFormat>
    <chartFormat chart="0" format="3">
      <pivotArea type="data" outline="0" fieldPosition="0">
        <references count="2">
          <reference field="4294967294" count="1" selected="0">
            <x v="0"/>
          </reference>
          <reference field="0" count="1" selected="0">
            <x v="2"/>
          </reference>
        </references>
      </pivotArea>
    </chartFormat>
    <chartFormat chart="0" format="4">
      <pivotArea type="data" outline="0" fieldPosition="0">
        <references count="2">
          <reference field="4294967294" count="1" selected="0">
            <x v="0"/>
          </reference>
          <reference field="0" count="1" selected="0">
            <x v="3"/>
          </reference>
        </references>
      </pivotArea>
    </chartFormat>
    <chartFormat chart="0" format="5">
      <pivotArea type="data" outline="0" fieldPosition="0">
        <references count="2">
          <reference field="4294967294" count="1" selected="0">
            <x v="0"/>
          </reference>
          <reference field="0" count="1" selected="0">
            <x v="4"/>
          </reference>
        </references>
      </pivotArea>
    </chartFormat>
    <chartFormat chart="0" format="6">
      <pivotArea type="data" outline="0" fieldPosition="0">
        <references count="2">
          <reference field="4294967294" count="1" selected="0">
            <x v="0"/>
          </reference>
          <reference field="0" count="1" selected="0">
            <x v="5"/>
          </reference>
        </references>
      </pivotArea>
    </chartFormat>
    <chartFormat chart="2" format="14" series="1">
      <pivotArea type="data" outline="0" fieldPosition="0">
        <references count="1">
          <reference field="4294967294" count="1" selected="0">
            <x v="0"/>
          </reference>
        </references>
      </pivotArea>
    </chartFormat>
    <chartFormat chart="2" format="15">
      <pivotArea type="data" outline="0" fieldPosition="0">
        <references count="2">
          <reference field="4294967294" count="1" selected="0">
            <x v="0"/>
          </reference>
          <reference field="0" count="1" selected="0">
            <x v="0"/>
          </reference>
        </references>
      </pivotArea>
    </chartFormat>
    <chartFormat chart="2" format="16">
      <pivotArea type="data" outline="0" fieldPosition="0">
        <references count="2">
          <reference field="4294967294" count="1" selected="0">
            <x v="0"/>
          </reference>
          <reference field="0" count="1" selected="0">
            <x v="2"/>
          </reference>
        </references>
      </pivotArea>
    </chartFormat>
    <chartFormat chart="2" format="17">
      <pivotArea type="data" outline="0" fieldPosition="0">
        <references count="2">
          <reference field="4294967294" count="1" selected="0">
            <x v="0"/>
          </reference>
          <reference field="0" count="1" selected="0">
            <x v="3"/>
          </reference>
        </references>
      </pivotArea>
    </chartFormat>
    <chartFormat chart="2" format="18">
      <pivotArea type="data" outline="0" fieldPosition="0">
        <references count="2">
          <reference field="4294967294" count="1" selected="0">
            <x v="0"/>
          </reference>
          <reference field="0" count="1" selected="0">
            <x v="4"/>
          </reference>
        </references>
      </pivotArea>
    </chartFormat>
    <chartFormat chart="2" format="19">
      <pivotArea type="data" outline="0" fieldPosition="0">
        <references count="2">
          <reference field="4294967294" count="1" selected="0">
            <x v="0"/>
          </reference>
          <reference field="0" count="1" selected="0">
            <x v="5"/>
          </reference>
        </references>
      </pivotArea>
    </chartFormat>
    <chartFormat chart="2" format="20">
      <pivotArea type="data" outline="0" fieldPosition="0">
        <references count="2">
          <reference field="4294967294" count="1" selected="0">
            <x v="0"/>
          </reference>
          <reference field="0" count="1" selected="0">
            <x v="6"/>
          </reference>
        </references>
      </pivotArea>
    </chartFormat>
    <chartFormat chart="0" format="7">
      <pivotArea type="data" outline="0" fieldPosition="0">
        <references count="2">
          <reference field="4294967294" count="1" selected="0">
            <x v="0"/>
          </reference>
          <reference field="0" count="1" selected="0">
            <x v="1"/>
          </reference>
        </references>
      </pivotArea>
    </chartFormat>
    <chartFormat chart="0" format="8">
      <pivotArea type="data" outline="0" fieldPosition="0">
        <references count="2">
          <reference field="4294967294" count="1" selected="0">
            <x v="0"/>
          </reference>
          <reference field="0" count="1" selected="0">
            <x v="7"/>
          </reference>
        </references>
      </pivotArea>
    </chartFormat>
    <chartFormat chart="0" format="9">
      <pivotArea type="data" outline="0" fieldPosition="0">
        <references count="2">
          <reference field="4294967294" count="1" selected="0">
            <x v="0"/>
          </reference>
          <reference field="0" count="1" selected="0">
            <x v="8"/>
          </reference>
        </references>
      </pivotArea>
    </chartFormat>
    <chartFormat chart="0" format="10">
      <pivotArea type="data" outline="0" fieldPosition="0">
        <references count="2">
          <reference field="4294967294" count="1" selected="0">
            <x v="0"/>
          </reference>
          <reference field="0" count="1" selected="0">
            <x v="9"/>
          </reference>
        </references>
      </pivotArea>
    </chartFormat>
    <chartFormat chart="0" format="11">
      <pivotArea type="data" outline="0" fieldPosition="0">
        <references count="2">
          <reference field="4294967294" count="1" selected="0">
            <x v="0"/>
          </reference>
          <reference field="0" count="1" selected="0">
            <x v="10"/>
          </reference>
        </references>
      </pivotArea>
    </chartFormat>
    <chartFormat chart="0" format="12">
      <pivotArea type="data" outline="0" fieldPosition="0">
        <references count="2">
          <reference field="4294967294" count="1" selected="0">
            <x v="0"/>
          </reference>
          <reference field="0" count="1" selected="0">
            <x v="11"/>
          </reference>
        </references>
      </pivotArea>
    </chartFormat>
    <chartFormat chart="2" format="21">
      <pivotArea type="data" outline="0" fieldPosition="0">
        <references count="2">
          <reference field="4294967294" count="1" selected="0">
            <x v="0"/>
          </reference>
          <reference field="0" count="1" selected="0">
            <x v="1"/>
          </reference>
        </references>
      </pivotArea>
    </chartFormat>
    <chartFormat chart="2" format="22">
      <pivotArea type="data" outline="0" fieldPosition="0">
        <references count="2">
          <reference field="4294967294" count="1" selected="0">
            <x v="0"/>
          </reference>
          <reference field="0" count="1" selected="0">
            <x v="7"/>
          </reference>
        </references>
      </pivotArea>
    </chartFormat>
    <chartFormat chart="2" format="23">
      <pivotArea type="data" outline="0" fieldPosition="0">
        <references count="2">
          <reference field="4294967294" count="1" selected="0">
            <x v="0"/>
          </reference>
          <reference field="0" count="1" selected="0">
            <x v="8"/>
          </reference>
        </references>
      </pivotArea>
    </chartFormat>
    <chartFormat chart="2" format="24">
      <pivotArea type="data" outline="0" fieldPosition="0">
        <references count="2">
          <reference field="4294967294" count="1" selected="0">
            <x v="0"/>
          </reference>
          <reference field="0" count="1" selected="0">
            <x v="9"/>
          </reference>
        </references>
      </pivotArea>
    </chartFormat>
    <chartFormat chart="2" format="25">
      <pivotArea type="data" outline="0" fieldPosition="0">
        <references count="2">
          <reference field="4294967294" count="1" selected="0">
            <x v="0"/>
          </reference>
          <reference field="0" count="1" selected="0">
            <x v="10"/>
          </reference>
        </references>
      </pivotArea>
    </chartFormat>
    <chartFormat chart="2" format="26">
      <pivotArea type="data" outline="0" fieldPosition="0">
        <references count="2">
          <reference field="4294967294" count="1" selected="0">
            <x v="0"/>
          </reference>
          <reference field="0" count="1" selected="0">
            <x v="11"/>
          </reference>
        </references>
      </pivotArea>
    </chartFormat>
  </chartFormats>
  <pivotHierarchies count="113">
    <pivotHierarchy dragToData="1"/>
    <pivotHierarchy multipleItemSelectionAllowed="1" dragToData="1">
      <members count="1" level="1">
        <member name="[Date].[Date (Year)].&amp;[2024]"/>
      </members>
    </pivotHierarchy>
    <pivotHierarchy dragToData="1"/>
    <pivotHierarchy multipleItemSelectionAllowed="1" dragToData="1">
      <members count="1" level="1">
        <member name="[Date].[Date (Month)].&amp;[juil]"/>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pense]"/>
        <x15:activeTabTopLevelEntity name="[Date]"/>
        <x15:activeTabTopLevelEntity name="[revenuXYZ]"/>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C100BE65-A42C-4CA5-A41A-9435B08B86B2}" name="PivotTable20" cacheId="1091" applyNumberFormats="0" applyBorderFormats="0" applyFontFormats="0" applyPatternFormats="0" applyAlignmentFormats="0" applyWidthHeightFormats="1" dataCaption="Values" tag="ac940428-deae-4cb2-887c-0dd02c56ecff" updatedVersion="8" minRefreshableVersion="3" useAutoFormatting="1" subtotalHiddenItems="1" itemPrintTitles="1" createdVersion="8" indent="0" outline="1" outlineData="1" multipleFieldFilters="0" rowHeaderCaption="Mois">
  <location ref="U8:V10" firstHeaderRow="1" firstDataRow="1" firstDataCol="1"/>
  <pivotFields count="5">
    <pivotField dataField="1" subtotalTop="0" showAll="0" defaultSubtotal="0"/>
    <pivotField axis="axisRow" allDrilled="1" subtotalTop="0" showAll="0" dataSourceSort="1" defaultSubtotal="0" defaultAttributeDrillState="1">
      <items count="4">
        <item s="1" x="0"/>
        <item x="1"/>
        <item x="2"/>
        <item x="3"/>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2">
    <i>
      <x/>
    </i>
    <i t="grand">
      <x/>
    </i>
  </rowItems>
  <colItems count="1">
    <i/>
  </colItems>
  <dataFields count="1">
    <dataField name="Depense" fld="0" subtotal="count" baseField="1" baseItem="0"/>
  </dataFields>
  <conditionalFormats count="1">
    <conditionalFormat priority="1">
      <pivotAreas count="1">
        <pivotArea type="data" collapsedLevelsAreSubtotals="1" fieldPosition="0">
          <references count="2">
            <reference field="4294967294" count="1" selected="0">
              <x v="0"/>
            </reference>
            <reference field="1" count="4">
              <x v="0"/>
              <x v="1"/>
              <x v="2"/>
              <x v="3"/>
            </reference>
          </references>
        </pivotArea>
      </pivotAreas>
    </conditionalFormat>
  </conditionalFormats>
  <pivotHierarchies count="113">
    <pivotHierarchy dragToData="1"/>
    <pivotHierarchy multipleItemSelectionAllowed="1" dragToData="1">
      <members count="1" level="1">
        <member name="[Date].[Date (Year)].&amp;[2024]"/>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caption="Depens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15" showRowHeaders="0"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pense]"/>
        <x15:activeTabTopLevelEntity name="[Date]"/>
        <x15:activeTabTopLevelEntity name="[revenuXYZ]"/>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18105FB4-51C5-47BE-8AF6-ECE898A5BB5A}" name="PivotTable22" cacheId="1103" applyNumberFormats="0" applyBorderFormats="0" applyFontFormats="0" applyPatternFormats="0" applyAlignmentFormats="0" applyWidthHeightFormats="1" dataCaption="Values" tag="cbb1bfae-25c6-4180-871e-30b8bd4a77da" updatedVersion="8" minRefreshableVersion="3" useAutoFormatting="1" subtotalHiddenItems="1" itemPrintTitles="1" createdVersion="8" indent="0" outline="1" outlineData="1" multipleFieldFilters="0" rowHeaderCaption="Mois">
  <location ref="U25:V27" firstHeaderRow="1" firstDataRow="1" firstDataCol="1"/>
  <pivotFields count="5">
    <pivotField axis="axisRow" allDrilled="1" subtotalTop="0" showAll="0" dataSourceSort="1" defaultSubtotal="0" defaultAttributeDrillState="1">
      <items count="12">
        <item s="1"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2">
    <i>
      <x/>
    </i>
    <i t="grand">
      <x/>
    </i>
  </rowItems>
  <colItems count="1">
    <i/>
  </colItems>
  <dataFields count="1">
    <dataField name="Revenue" fld="1" subtotal="count" baseField="0" baseItem="0"/>
  </dataFields>
  <conditionalFormats count="1">
    <conditionalFormat priority="2">
      <pivotAreas count="1">
        <pivotArea type="data" collapsedLevelsAreSubtotals="1" fieldPosition="0">
          <references count="2">
            <reference field="4294967294" count="1" selected="0">
              <x v="0"/>
            </reference>
            <reference field="0" count="12">
              <x v="0"/>
              <x v="1"/>
              <x v="2"/>
              <x v="3"/>
              <x v="4"/>
              <x v="5"/>
              <x v="6"/>
              <x v="7"/>
              <x v="8"/>
              <x v="9"/>
              <x v="10"/>
              <x v="11"/>
            </reference>
          </references>
        </pivotArea>
      </pivotAreas>
    </conditionalFormat>
  </conditionalFormats>
  <pivotHierarchies count="113">
    <pivotHierarchy dragToData="1"/>
    <pivotHierarchy multipleItemSelectionAllowed="1" dragToData="1">
      <members count="1" level="1">
        <member name="[Date].[Date (Year)].&amp;[2024]"/>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Revenu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15" showRowHeaders="0"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pense]"/>
        <x15:activeTabTopLevelEntity name="[Date]"/>
        <x15:activeTabTopLevelEntity name="[revenuXYZ]"/>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Month" xr10:uid="{C954DE07-89CD-4E9E-8730-78F04AB7E92F}" sourceName="[Date].[Date (Month)]">
  <pivotTables>
    <pivotTable tabId="5" name="PivotTable15"/>
    <pivotTable tabId="5" name="PivotTable16"/>
    <pivotTable tabId="5" name="PivotTable17"/>
    <pivotTable tabId="5" name="PivotTable18"/>
    <pivotTable tabId="6" name="PivotTable20"/>
    <pivotTable tabId="5" name="PivotTable19"/>
    <pivotTable tabId="5" name="PivotTable21"/>
    <pivotTable tabId="5" name="PivotTable23"/>
    <pivotTable tabId="6" name="PivotTable22"/>
  </pivotTables>
  <data>
    <olap pivotCacheId="2010665755">
      <levels count="2">
        <level uniqueName="[Date].[Date (Month)].[(All)]" sourceCaption="(All)" count="0"/>
        <level uniqueName="[Date].[Date (Month)].[Date (Month)]" sourceCaption="Date (Month)" count="12">
          <ranges>
            <range startItem="0">
              <i n="[Date].[Date (Month)].&amp;[janv]" c="janv"/>
              <i n="[Date].[Date (Month)].&amp;[févr]" c="févr"/>
              <i n="[Date].[Date (Month)].&amp;[mars]" c="mars"/>
              <i n="[Date].[Date (Month)].&amp;[avr]" c="avr"/>
              <i n="[Date].[Date (Month)].&amp;[mai]" c="mai"/>
              <i n="[Date].[Date (Month)].&amp;[juin]" c="juin"/>
              <i n="[Date].[Date (Month)].&amp;[juil]" c="juil"/>
              <i n="[Date].[Date (Month)].&amp;[août]" c="août"/>
              <i n="[Date].[Date (Month)].&amp;[sept]" c="sept"/>
              <i n="[Date].[Date (Month)].&amp;[oct]" c="oct"/>
              <i n="[Date].[Date (Month)].&amp;[nov]" c="nov"/>
              <i n="[Date].[Date (Month)].&amp;[déc]" c="déc"/>
            </range>
          </ranges>
        </level>
      </levels>
      <selections count="1">
        <selection n="[Date].[Date (Month)].&amp;[jui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egorie" xr10:uid="{A2D1FEBB-257C-460D-924F-D0EC92BED698}" sourceName="[depense].[Caegorie]">
  <pivotTables>
    <pivotTable tabId="5" name="PivotTable15"/>
    <pivotTable tabId="5" name="PivotTable16"/>
    <pivotTable tabId="5" name="PivotTable17"/>
    <pivotTable tabId="5" name="PivotTable18"/>
    <pivotTable tabId="5" name="PivotTable19"/>
    <pivotTable tabId="5" name="PivotTable21"/>
    <pivotTable tabId="5" name="PivotTable23"/>
    <pivotTable tabId="6" name="PivotTable20"/>
    <pivotTable tabId="6" name="PivotTable22"/>
  </pivotTables>
  <data>
    <olap pivotCacheId="2010665755">
      <levels count="2">
        <level uniqueName="[depense].[Caegorie].[(All)]" sourceCaption="(All)" count="0"/>
        <level uniqueName="[depense].[Caegorie].[Caegorie]" sourceCaption="Caegorie" count="12" sortOrder="ascending">
          <ranges>
            <range startItem="0">
              <i n="[depense].[Caegorie].&amp;[Accessoires]" c="Accessoires"/>
              <i n="[depense].[Caegorie].&amp;[Autre]" c="Autre"/>
              <i n="[depense].[Caegorie].&amp;[Bus/taxi/train/avion]" c="Bus/taxi/train/avion"/>
              <i n="[depense].[Caegorie].&amp;[Carburant]" c="Carburant"/>
              <i n="[depense].[Caegorie].&amp;[Eau]" c="Eau"/>
              <i n="[depense].[Caegorie].&amp;[Electricite]" c="Electricite"/>
              <i n="[depense].[Caegorie].&amp;[Gaz]" c="Gaz"/>
              <i n="[depense].[Caegorie].&amp;[Internet &amp; Phone]" c="Internet &amp; Phone"/>
              <i n="[depense].[Caegorie].&amp;[Loyer]" c="Loyer"/>
              <i n="[depense].[Caegorie].&amp;[maintenance]" c="maintenance"/>
              <i n="[depense].[Caegorie].&amp;[Nourriture externe]" c="Nourriture externe"/>
              <i n="[depense].[Caegorie].&amp;[Nourriture interne]" c="Nourriture interne"/>
            </range>
          </ranges>
        </level>
      </levels>
      <selections count="1">
        <selection n="[depense].[Caegori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ie1" xr10:uid="{ED40F50F-A72A-4062-8FBA-A81FD8B2532A}" sourceName="[revenuXYZ].[categorie]">
  <pivotTables>
    <pivotTable tabId="5" name="PivotTable15"/>
    <pivotTable tabId="5" name="PivotTable16"/>
    <pivotTable tabId="5" name="PivotTable17"/>
    <pivotTable tabId="5" name="PivotTable18"/>
    <pivotTable tabId="6" name="PivotTable20"/>
    <pivotTable tabId="5" name="PivotTable19"/>
    <pivotTable tabId="5" name="PivotTable21"/>
    <pivotTable tabId="5" name="PivotTable23"/>
    <pivotTable tabId="6" name="PivotTable22"/>
  </pivotTables>
  <data>
    <olap pivotCacheId="2010665755">
      <levels count="2">
        <level uniqueName="[revenuXYZ].[categorie].[(All)]" sourceCaption="(All)" count="0"/>
        <level uniqueName="[revenuXYZ].[categorie].[categorie]" sourceCaption="categorie" count="4">
          <ranges>
            <range startItem="0">
              <i n="[revenuXYZ].[categorie].&amp;[Autres]" c="Autres"/>
              <i n="[revenuXYZ].[categorie].&amp;[Don]" c="Don"/>
              <i n="[revenuXYZ].[categorie].&amp;[Freelancing]" c="Freelancing"/>
              <i n="[revenuXYZ].[categorie].&amp;[Salaire]" c="Salaire"/>
            </range>
          </ranges>
        </level>
      </levels>
      <selections count="1">
        <selection n="[revenuXYZ].[categorie].[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Year" xr10:uid="{BA5800B3-DF06-4D5D-9207-97697ACD6DC7}" sourceName="[Date].[Date (Year)]">
  <pivotTables>
    <pivotTable tabId="5" name="PivotTable15"/>
    <pivotTable tabId="5" name="PivotTable16"/>
    <pivotTable tabId="5" name="PivotTable17"/>
    <pivotTable tabId="5" name="PivotTable18"/>
    <pivotTable tabId="5" name="PivotTable19"/>
    <pivotTable tabId="5" name="PivotTable21"/>
    <pivotTable tabId="5" name="PivotTable23"/>
    <pivotTable tabId="6" name="PivotTable20"/>
    <pivotTable tabId="6" name="PivotTable22"/>
  </pivotTables>
  <data>
    <olap pivotCacheId="2010665755">
      <levels count="2">
        <level uniqueName="[Date].[Date (Year)].[(All)]" sourceCaption="(All)" count="0"/>
        <level uniqueName="[Date].[Date (Year)].[Date (Year)]" sourceCaption="Date (Year)" count="3">
          <ranges>
            <range startItem="0">
              <i n="[Date].[Date (Year)].&amp;[2024]" c="2024"/>
              <i n="[Date].[Date (Year)].&amp;[2025]" c="2025" nd="1"/>
              <i n="[Date].[Date (Year)].&amp;[2026]" c="2026" nd="1"/>
            </range>
          </ranges>
        </level>
      </levels>
      <selections count="1">
        <selection n="[Date].[Date (Year)].&amp;[2024]"/>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Month)" xr10:uid="{9565FB56-21EA-489E-BF6C-8CF50BD65529}" cache="Slicer_Date__Month" caption="Mois" columnCount="6" level="1" style="Slicer Style 2" rowHeight="251883"/>
  <slicer name="Caegorie" xr10:uid="{C1B4FCD8-F82E-42C2-AABE-21549864D046}" cache="Slicer_Caegorie" caption="Categ Dépenses" startItem="1" level="1" style="Slicer Style 2" rowHeight="251883"/>
  <slicer name="categorie 1" xr10:uid="{0B37AFD3-E2FF-4B45-8336-F2D08E5E7DF6}" cache="Slicer_categorie1" caption="categ Revenue" level="1" style="Slicer Style 2" rowHeight="251883"/>
  <slicer name="Date (Year)" xr10:uid="{DB3EC1E3-BF37-47D4-95C5-F78625DDF027}" cache="Slicer_Date__Year" caption="Années" level="1" style="Slicer Style 2"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EF8C9FE-D97B-41F0-A034-BE17F1A1C94D}" name="revenue" displayName="revenue" ref="B7:O12" totalsRowCount="1" headerRowDxfId="176" dataDxfId="174" totalsRowDxfId="172" headerRowBorderDxfId="175" tableBorderDxfId="173">
  <autoFilter ref="B7:O11" xr:uid="{CEF8C9FE-D97B-41F0-A034-BE17F1A1C94D}">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2F3F0EF3-6A82-4C86-A7C3-A95479A4760A}" name="Elements" totalsRowLabel="Total" dataDxfId="171" totalsRowDxfId="170"/>
    <tableColumn id="2" xr3:uid="{AF10DFEE-97DD-4FE4-8027-7EB39DFABD4E}" name="Janv." totalsRowFunction="custom" dataDxfId="169" totalsRowDxfId="168">
      <calculatedColumnFormula>SUMIFS(revenuXYZ[montant],revenuXYZ[categorie],$B8,revenuXYZ[mois],1)</calculatedColumnFormula>
      <totalsRowFormula>SUM(revenue[Janv.])</totalsRowFormula>
    </tableColumn>
    <tableColumn id="3" xr3:uid="{606D8253-3B50-4E66-86E7-430715136C46}" name="Fev." totalsRowFunction="custom" dataDxfId="167" totalsRowDxfId="166">
      <calculatedColumnFormula>SUMIFS(revenuXYZ[montant],revenuXYZ[categorie],$B8,revenuXYZ[mois],2)</calculatedColumnFormula>
      <totalsRowFormula>SUM(revenue[Fev.])</totalsRowFormula>
    </tableColumn>
    <tableColumn id="4" xr3:uid="{26BC2698-F834-45F4-92DD-9CF312DC4271}" name="Mars." totalsRowFunction="custom" dataDxfId="165" totalsRowDxfId="164">
      <calculatedColumnFormula>SUMIFS(revenuXYZ[montant],revenuXYZ[categorie],$B8,revenuXYZ[mois],3)</calculatedColumnFormula>
      <totalsRowFormula>SUM(revenue[Mars.])</totalsRowFormula>
    </tableColumn>
    <tableColumn id="5" xr3:uid="{B7747402-24A9-4631-9F75-209809784D42}" name="Avril" totalsRowFunction="custom" dataDxfId="163" totalsRowDxfId="162">
      <calculatedColumnFormula>SUMIFS(revenuXYZ[montant],revenuXYZ[categorie],$B8,revenuXYZ[mois],4)</calculatedColumnFormula>
      <totalsRowFormula>SUM(revenue[Avril])</totalsRowFormula>
    </tableColumn>
    <tableColumn id="6" xr3:uid="{8DEBCB99-DD69-44B5-B15F-8026BF3AF6EB}" name="Mai" totalsRowFunction="custom" dataDxfId="161" totalsRowDxfId="160">
      <calculatedColumnFormula>SUMIFS(revenuXYZ[montant],revenuXYZ[categorie],$B8,revenuXYZ[mois],5)</calculatedColumnFormula>
      <totalsRowFormula>SUM(revenue[Mai])</totalsRowFormula>
    </tableColumn>
    <tableColumn id="7" xr3:uid="{7B3FD5FC-47F9-4512-B23E-49C3CCBD60AF}" name="Juin" totalsRowFunction="custom" dataDxfId="159" totalsRowDxfId="158">
      <calculatedColumnFormula>SUMIFS(revenuXYZ[montant],revenuXYZ[categorie],$B8,revenuXYZ[mois],6)</calculatedColumnFormula>
      <totalsRowFormula>SUM(revenue[Juin])</totalsRowFormula>
    </tableColumn>
    <tableColumn id="8" xr3:uid="{B89EC784-3D26-400E-89FA-43BE0F86A2A2}" name="Juillet" totalsRowFunction="custom" dataDxfId="157" totalsRowDxfId="156">
      <calculatedColumnFormula>SUMIFS(revenuXYZ[montant],revenuXYZ[categorie],$B8,revenuXYZ[mois],7)</calculatedColumnFormula>
      <totalsRowFormula>SUM(revenue[Juillet])</totalsRowFormula>
    </tableColumn>
    <tableColumn id="9" xr3:uid="{B7941D4D-DEC7-4E54-880E-7BFF286C3018}" name="Aout" totalsRowFunction="custom" dataDxfId="155" totalsRowDxfId="154">
      <calculatedColumnFormula>SUMIFS(revenuXYZ[montant],revenuXYZ[categorie],$B8,revenuXYZ[mois],8)</calculatedColumnFormula>
      <totalsRowFormula>SUM(revenue[Aout])</totalsRowFormula>
    </tableColumn>
    <tableColumn id="10" xr3:uid="{B538AAF0-4B03-4A63-B2B8-D71DE3A9D194}" name="Sept." totalsRowFunction="custom" dataDxfId="153" totalsRowDxfId="152">
      <calculatedColumnFormula>SUMIFS(revenuXYZ[montant],revenuXYZ[categorie],$B8,revenuXYZ[mois],9)</calculatedColumnFormula>
      <totalsRowFormula>SUM(revenue[Sept.])</totalsRowFormula>
    </tableColumn>
    <tableColumn id="11" xr3:uid="{30300D23-AA49-4400-8470-123645B61F51}" name="Oct." totalsRowFunction="custom" dataDxfId="151" totalsRowDxfId="150">
      <calculatedColumnFormula>SUMIFS(revenuXYZ[montant],revenuXYZ[categorie],$B8,revenuXYZ[mois],10)</calculatedColumnFormula>
      <totalsRowFormula>SUM(revenue[Oct.])</totalsRowFormula>
    </tableColumn>
    <tableColumn id="12" xr3:uid="{AB68509E-B095-4830-B575-5A3549C65E5C}" name="Nov." totalsRowFunction="custom" dataDxfId="149" totalsRowDxfId="148">
      <calculatedColumnFormula>SUMIFS(revenuXYZ[montant],revenuXYZ[categorie],$B8,revenuXYZ[mois],11)</calculatedColumnFormula>
      <totalsRowFormula>SUM(revenue[Nov.])</totalsRowFormula>
    </tableColumn>
    <tableColumn id="13" xr3:uid="{EA5BF470-3B3B-4ECF-95F8-0CACCE09D75F}" name="Dec" totalsRowFunction="custom" dataDxfId="147" totalsRowDxfId="146">
      <calculatedColumnFormula>SUMIFS(revenuXYZ[montant],revenuXYZ[categorie],$B8,revenuXYZ[mois],12)</calculatedColumnFormula>
      <totalsRowFormula>SUM(revenue[Dec])</totalsRowFormula>
    </tableColumn>
    <tableColumn id="14" xr3:uid="{501950A5-B55B-493E-BC67-760BEE544BD0}" name="Year to Date" totalsRowFunction="sum" dataDxfId="145" totalsRowDxfId="144">
      <calculatedColumnFormula>SUM(C8:N8)</calculatedColumnFormula>
    </tableColumn>
  </tableColumns>
  <tableStyleInfo name="TableStyleLight8"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FE59DF9-E277-45A6-AEA4-21EAD3CC0E79}" name="maison" displayName="maison" ref="B18:O23" headerRowCount="0" totalsRowShown="0" headerRowDxfId="143" dataDxfId="142">
  <tableColumns count="14">
    <tableColumn id="1" xr3:uid="{8BE58122-8800-4D2F-AC58-9BF7C04783D6}" name="Colonne1" headerRowDxfId="141" dataDxfId="140"/>
    <tableColumn id="2" xr3:uid="{28291BF8-1F55-4905-83D6-74538BF448B9}" name="Colonne2" headerRowDxfId="139" dataDxfId="138">
      <calculatedColumnFormula>SUMIFS(depense[montant],depense[Caegorie],$B18,depense[mois],1)</calculatedColumnFormula>
    </tableColumn>
    <tableColumn id="3" xr3:uid="{629AD474-FD60-4E0E-8358-D3B26AF5FC1A}" name="Colonne3" headerRowDxfId="137" dataDxfId="136">
      <calculatedColumnFormula>SUMIFS(depense[montant],depense[Caegorie],$B18,depense[mois],2)</calculatedColumnFormula>
    </tableColumn>
    <tableColumn id="4" xr3:uid="{C307DC96-280D-4E37-82FE-D8BD4FD5F2EE}" name="Colonne4" headerRowDxfId="135" dataDxfId="134">
      <calculatedColumnFormula>SUMIFS(depense[montant],depense[Caegorie],$B18,depense[mois],3)</calculatedColumnFormula>
    </tableColumn>
    <tableColumn id="5" xr3:uid="{B10BBE5E-0FB3-43D2-BC65-5F871D57FE08}" name="Colonne5" headerRowDxfId="133" dataDxfId="132">
      <calculatedColumnFormula>SUMIFS(depense[montant],depense[Caegorie],$B18,depense[mois],4)</calculatedColumnFormula>
    </tableColumn>
    <tableColumn id="6" xr3:uid="{3813A701-B9D8-4291-876D-D6B18A343D03}" name="Colonne6" headerRowDxfId="131" dataDxfId="130">
      <calculatedColumnFormula>SUMIFS(depense[montant],depense[Caegorie],$B18,depense[mois],5)</calculatedColumnFormula>
    </tableColumn>
    <tableColumn id="7" xr3:uid="{7AC0E68E-39F4-470E-B6DA-19BE5C6E6C57}" name="Colonne7" headerRowDxfId="129" dataDxfId="128">
      <calculatedColumnFormula>SUMIFS(depense[montant],depense[Caegorie],$B18,depense[mois],6)</calculatedColumnFormula>
    </tableColumn>
    <tableColumn id="8" xr3:uid="{F5FF49E2-E3A5-4539-9EF0-AB1B2555F843}" name="Colonne8" headerRowDxfId="127" dataDxfId="126">
      <calculatedColumnFormula>SUMIFS(depense[montant],depense[Caegorie],$B18,depense[mois],7)</calculatedColumnFormula>
    </tableColumn>
    <tableColumn id="9" xr3:uid="{92762387-0230-483D-B593-A366B3191320}" name="Colonne9" headerRowDxfId="125" dataDxfId="124">
      <calculatedColumnFormula>SUMIFS(depense[montant],depense[Caegorie],$B18,depense[mois],8)</calculatedColumnFormula>
    </tableColumn>
    <tableColumn id="10" xr3:uid="{D8CC024E-F51E-4134-AF0A-117D743F8FD2}" name="Colonne10" headerRowDxfId="123" dataDxfId="122">
      <calculatedColumnFormula>SUMIFS(depense[montant],depense[Caegorie],$B18,depense[mois],9)</calculatedColumnFormula>
    </tableColumn>
    <tableColumn id="11" xr3:uid="{9C37B421-D52B-490B-8B62-C7DE78D450C7}" name="Colonne11" headerRowDxfId="121" dataDxfId="120">
      <calculatedColumnFormula>SUMIFS(depense[montant],depense[Caegorie],$B18,depense[mois],10)</calculatedColumnFormula>
    </tableColumn>
    <tableColumn id="12" xr3:uid="{DBA9F0AB-968A-4EF0-A00D-77F87125E72D}" name="Colonne12" headerRowDxfId="119" dataDxfId="118">
      <calculatedColumnFormula>SUMIFS(depense[montant],depense[Caegorie],$B18,depense[mois],11)</calculatedColumnFormula>
    </tableColumn>
    <tableColumn id="13" xr3:uid="{1B01253A-FED9-47E2-AD36-4617A0961D99}" name="Colonne13" headerRowDxfId="117" dataDxfId="116">
      <calculatedColumnFormula>SUMIFS(depense[montant],depense[Caegorie],$B18,depense[mois],12)</calculatedColumnFormula>
    </tableColumn>
    <tableColumn id="14" xr3:uid="{5D61E5E9-6F2E-49B1-989B-0ABC00E9372B}" name="Colonne14" headerRowDxfId="115" dataDxfId="114">
      <calculatedColumnFormula>SUM(maison[[#This Row],[Colonne2]:[Colonne13]])</calculatedColumnFormula>
    </tableColumn>
  </tableColumns>
  <tableStyleInfo name="TableStyleLight9"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A22A257-3649-4954-B7FE-41D87E31DB0D}" name="nourriture" displayName="nourriture" ref="B25:O26" headerRowCount="0" totalsRowShown="0" headerRowDxfId="113" dataDxfId="112">
  <tableColumns count="14">
    <tableColumn id="1" xr3:uid="{31A8E595-95CC-497A-9885-6F06AA9E40BA}" name="Colonne1" headerRowDxfId="111" dataDxfId="110"/>
    <tableColumn id="2" xr3:uid="{072B7161-51BB-4CCE-824D-BB29CE5241DF}" name="Colonne2" headerRowDxfId="109" dataDxfId="108">
      <calculatedColumnFormula>SUMIFS(depense[montant],depense[Caegorie],$B25,depense[mois],1)</calculatedColumnFormula>
    </tableColumn>
    <tableColumn id="3" xr3:uid="{53AB42BF-2B55-459E-9DE8-DF52B04F62F1}" name="Colonne3" headerRowDxfId="107" dataDxfId="106">
      <calculatedColumnFormula>SUMIFS(depense[montant],depense[Caegorie],$B25,depense[mois],2)</calculatedColumnFormula>
    </tableColumn>
    <tableColumn id="4" xr3:uid="{8A272B56-5BB3-428B-BF0C-D0FBA3EFB29F}" name="Colonne4" headerRowDxfId="105" dataDxfId="104">
      <calculatedColumnFormula>SUMIFS(depense[montant],depense[Caegorie],$B25,depense[mois],3)</calculatedColumnFormula>
    </tableColumn>
    <tableColumn id="5" xr3:uid="{E86C3A30-AFB6-49C5-8D2F-F83D0A6F8954}" name="Colonne5" headerRowDxfId="103" dataDxfId="102">
      <calculatedColumnFormula>SUMIFS(depense[montant],depense[Caegorie],$B25,depense[mois],4)</calculatedColumnFormula>
    </tableColumn>
    <tableColumn id="6" xr3:uid="{4E47B9CC-7F59-4B1B-91B1-AD49AD9A70D6}" name="Colonne6" headerRowDxfId="101" dataDxfId="100">
      <calculatedColumnFormula>SUMIFS(depense[montant],depense[Caegorie],$B25,depense[mois],5)</calculatedColumnFormula>
    </tableColumn>
    <tableColumn id="7" xr3:uid="{3097B62F-26E3-4C00-B7BC-1B9D545F4B0A}" name="Colonne7" headerRowDxfId="99" dataDxfId="98">
      <calculatedColumnFormula>SUMIFS(depense[montant],depense[Caegorie],$B25,depense[mois],6)</calculatedColumnFormula>
    </tableColumn>
    <tableColumn id="8" xr3:uid="{5D1485E0-B9E4-4A60-BE88-5133E63256B4}" name="Colonne8" headerRowDxfId="97" dataDxfId="96">
      <calculatedColumnFormula>SUMIFS(depense[montant],depense[Caegorie],$B25,depense[mois],7)</calculatedColumnFormula>
    </tableColumn>
    <tableColumn id="9" xr3:uid="{B39B3641-2453-4211-846A-C4A4D0CABA45}" name="Colonne9" headerRowDxfId="95" dataDxfId="94">
      <calculatedColumnFormula>SUMIFS(depense[montant],depense[Caegorie],$B25,depense[mois],8)</calculatedColumnFormula>
    </tableColumn>
    <tableColumn id="10" xr3:uid="{290C5822-BB6C-4738-A8CA-EF44CF666183}" name="Colonne10" headerRowDxfId="93" dataDxfId="92">
      <calculatedColumnFormula>SUMIFS(depense[montant],depense[Caegorie],$B25,depense[mois],9)</calculatedColumnFormula>
    </tableColumn>
    <tableColumn id="11" xr3:uid="{4DD7A7DE-4013-4E5D-B9B6-D0E6B306CC64}" name="Colonne11" headerRowDxfId="91" dataDxfId="90">
      <calculatedColumnFormula>SUMIFS(depense[montant],depense[Caegorie],$B25,depense[mois],10)</calculatedColumnFormula>
    </tableColumn>
    <tableColumn id="12" xr3:uid="{A571930E-83B7-472C-A480-C32C8492BDF2}" name="Colonne12" headerRowDxfId="89" dataDxfId="88">
      <calculatedColumnFormula>SUMIFS(depense[montant],depense[Caegorie],$B25,depense[mois],11)</calculatedColumnFormula>
    </tableColumn>
    <tableColumn id="13" xr3:uid="{1CCF16BA-04AD-4EF2-912F-42F7F2D2AFBE}" name="Colonne13" headerRowDxfId="87" dataDxfId="86">
      <calculatedColumnFormula>SUMIFS(depense[montant],depense[Caegorie],$B25,depense[mois],12)</calculatedColumnFormula>
    </tableColumn>
    <tableColumn id="14" xr3:uid="{C4513505-227B-4542-B02D-9A366CF7F9AF}" name="Colonne14" headerRowDxfId="85" dataDxfId="84">
      <calculatedColumnFormula>SUM(nourriture[[#This Row],[Colonne2]:[Colonne13]])</calculatedColumnFormula>
    </tableColumn>
  </tableColumns>
  <tableStyleInfo name="TableStyleLight8"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50F44CE-8A69-42CE-B565-2A6CBF405087}" name="transport" displayName="transport" ref="B28:O31" headerRowCount="0" totalsRowShown="0" headerRowDxfId="83" dataDxfId="82">
  <tableColumns count="14">
    <tableColumn id="1" xr3:uid="{459E49D2-956B-4F22-9664-A87B5FE96A10}" name="Colonne1" headerRowDxfId="81" dataDxfId="80"/>
    <tableColumn id="2" xr3:uid="{B4CE6BD7-5E01-4FAC-81D5-16CBD0112EA5}" name="Colonne2" headerRowDxfId="79" dataDxfId="78">
      <calculatedColumnFormula>SUMIFS(depense[montant],depense[Caegorie],$B28,depense[mois],1)</calculatedColumnFormula>
    </tableColumn>
    <tableColumn id="3" xr3:uid="{2FCE54BD-6503-492A-95EE-37716315B5B7}" name="Colonne3" headerRowDxfId="77" dataDxfId="76">
      <calculatedColumnFormula>SUMIFS(depense[montant],depense[Caegorie],$B28,depense[mois],2)</calculatedColumnFormula>
    </tableColumn>
    <tableColumn id="4" xr3:uid="{B2BB943C-2153-4043-81CA-340147790280}" name="Colonne4" headerRowDxfId="75" dataDxfId="74">
      <calculatedColumnFormula>SUMIFS(depense[montant],depense[Caegorie],$B28,depense[mois],3)</calculatedColumnFormula>
    </tableColumn>
    <tableColumn id="5" xr3:uid="{56E0B7FF-DD2D-4C3C-AE8A-7E90B848BC68}" name="Colonne5" headerRowDxfId="73" dataDxfId="72">
      <calculatedColumnFormula>SUMIFS(depense[montant],depense[Caegorie],$B28,depense[mois],4)</calculatedColumnFormula>
    </tableColumn>
    <tableColumn id="6" xr3:uid="{08631D2E-F428-4CE4-9C2D-396B1BD4F8A4}" name="Colonne6" headerRowDxfId="71" dataDxfId="70">
      <calculatedColumnFormula>SUMIFS(depense[montant],depense[Caegorie],$B28,depense[mois],5)</calculatedColumnFormula>
    </tableColumn>
    <tableColumn id="7" xr3:uid="{EFF44476-181E-44D0-ACAF-990C61853E6C}" name="Colonne7" headerRowDxfId="69" dataDxfId="68">
      <calculatedColumnFormula>SUMIFS(depense[montant],depense[Caegorie],$B28,depense[mois],6)</calculatedColumnFormula>
    </tableColumn>
    <tableColumn id="8" xr3:uid="{DC535CF6-995F-4E63-B6CF-03A16C47CD64}" name="Colonne8" headerRowDxfId="67" dataDxfId="66">
      <calculatedColumnFormula>SUMIFS(depense[montant],depense[Caegorie],$B28,depense[mois],7)</calculatedColumnFormula>
    </tableColumn>
    <tableColumn id="9" xr3:uid="{9D9EFED3-7BE4-46CC-B501-5B6EAFBF2653}" name="Colonne9" headerRowDxfId="65" dataDxfId="64">
      <calculatedColumnFormula>SUMIFS(depense[montant],depense[Caegorie],$B28,depense[mois],8)</calculatedColumnFormula>
    </tableColumn>
    <tableColumn id="10" xr3:uid="{B04B7978-9E19-40D0-99CB-C7CE169435C8}" name="Colonne10" headerRowDxfId="63" dataDxfId="62">
      <calculatedColumnFormula>SUMIFS(depense[montant],depense[Caegorie],$B28,depense[mois],9)</calculatedColumnFormula>
    </tableColumn>
    <tableColumn id="11" xr3:uid="{250D0170-A681-4141-8B0B-26DEF659F313}" name="Colonne11" headerRowDxfId="61" dataDxfId="60">
      <calculatedColumnFormula>SUMIFS(depense[montant],depense[Caegorie],$B28,depense[mois],10)</calculatedColumnFormula>
    </tableColumn>
    <tableColumn id="12" xr3:uid="{BFFE83A4-CE8E-4A95-97BF-17D1B8270827}" name="Colonne12" headerRowDxfId="59" dataDxfId="58">
      <calculatedColumnFormula>SUMIFS(depense[montant],depense[Caegorie],$B28,depense[mois],11)</calculatedColumnFormula>
    </tableColumn>
    <tableColumn id="13" xr3:uid="{74F3D2C0-7297-44FB-8F64-6E1D8F7D0EF6}" name="Colonne13" headerRowDxfId="57" dataDxfId="56">
      <calculatedColumnFormula>SUMIFS(depense[montant],depense[Caegorie],$B28,depense[mois],12)</calculatedColumnFormula>
    </tableColumn>
    <tableColumn id="14" xr3:uid="{20A5147A-C41C-4292-A5C6-F021F360C1E4}" name="Colonne14" headerRowDxfId="55" dataDxfId="54">
      <calculatedColumnFormula>SUM(transport[[#This Row],[Colonne2]:[Colonne13]])</calculatedColumnFormula>
    </tableColumn>
  </tableColumns>
  <tableStyleInfo name="TableStyleLight8"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5D44905-AE40-422D-A628-9EAB554E05D2}" name="Table14" displayName="Table14" ref="A1:C1097" totalsRowShown="0" headerRowDxfId="15">
  <autoFilter ref="A1:C1097" xr:uid="{D5D44905-AE40-422D-A628-9EAB554E05D2}"/>
  <tableColumns count="3">
    <tableColumn id="1" xr3:uid="{E591DEE5-8202-458C-B7CB-6D31005EEBDD}" name="Date" dataDxfId="10"/>
    <tableColumn id="2" xr3:uid="{C1977F70-CAF9-476B-8A68-8A7DEEFB988F}" name="Mois" dataDxfId="9">
      <calculatedColumnFormula>MONTH(Table14[[#This Row],[Date]])</calculatedColumnFormula>
    </tableColumn>
    <tableColumn id="3" xr3:uid="{F5D7AFD0-777F-42DC-8225-8C41D84EEC6B}" name="Nun_Month" dataDxfId="8">
      <calculatedColumnFormula>"S" &amp; WEEKNUM(Table14[[#This Row],[Date]])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F9FEE09-B32E-4030-8F0B-997B35B370EA}" name="revenuXYZ" displayName="revenuXYZ" ref="A4:H59" totalsRowCount="1" headerRowDxfId="53" dataDxfId="52" totalsRowDxfId="51">
  <autoFilter ref="A4:H58" xr:uid="{CF9FEE09-B32E-4030-8F0B-997B35B370EA}"/>
  <tableColumns count="8">
    <tableColumn id="1" xr3:uid="{B6949565-AC77-4CEA-BF40-3728ADB2A723}" name="Date" totalsRowLabel="Total" dataDxfId="50" totalsRowDxfId="49"/>
    <tableColumn id="6" xr3:uid="{7CCF4345-01A6-459A-A8AA-6AD4174FA5B3}" name="mois" dataDxfId="48" totalsRowDxfId="47">
      <calculatedColumnFormula>MONTH(revenuXYZ[[#This Row],[Date]])</calculatedColumnFormula>
    </tableColumn>
    <tableColumn id="2" xr3:uid="{26AFC3E0-AF9B-4AF5-82D8-257BF436B9F0}" name="categorie" dataDxfId="46" totalsRowDxfId="45"/>
    <tableColumn id="3" xr3:uid="{ED12E44C-59A7-43BE-AC35-D9736039D54A}" name="Description" dataDxfId="44" totalsRowDxfId="43"/>
    <tableColumn id="4" xr3:uid="{400BDC66-C5BA-4BAF-8AC7-D9836D6F4C91}" name="montant" totalsRowFunction="sum" dataDxfId="42" totalsRowDxfId="41"/>
    <tableColumn id="5" xr3:uid="{37A8A774-44A8-4E0B-A3F4-6F3D4608CA6A}" name="montant_CFA" totalsRowFunction="custom" dataDxfId="40" totalsRowDxfId="39">
      <calculatedColumnFormula>revenuXYZ[[#This Row],[montant]]*60</calculatedColumnFormula>
      <totalsRowFormula>SUM(revenuXYZ[montant_CFA])</totalsRowFormula>
    </tableColumn>
    <tableColumn id="7" xr3:uid="{DF89F1E2-4BCE-4318-B262-5495EB77D769}" name="source" dataDxfId="38" totalsRowDxfId="37">
      <calculatedColumnFormula array="1">_xlfn.IFS(revenuXYZ[[#This Row],[categorie]]="Salaire","Banque",revenuXYZ[[#This Row],[categorie]]="Don","Portefeuille",revenuXYZ[[#This Row],[categorie]]="Freelancing","Banque",revenuXYZ[[#This Row],[categorie]]="Autres","Portefeuille")</calculatedColumnFormula>
    </tableColumn>
    <tableColumn id="8" xr3:uid="{BD8C64EF-49ED-4925-A103-4B42AA89BD59}" name="ID" dataDxfId="36" totalsRowDxfId="35"/>
  </tableColumns>
  <tableStyleInfo name="TableStyleLight8" showFirstColumn="0" showLastColumn="0" showRowStripes="0" showColumnStripes="1"/>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105FE4-61EF-47F4-ACF5-16B19E6EC894}" name="depense" displayName="depense" ref="A4:H52" totalsRowCount="1" headerRowDxfId="34" dataDxfId="33" totalsRowDxfId="32">
  <autoFilter ref="A4:H51" xr:uid="{54105FE4-61EF-47F4-ACF5-16B19E6EC894}"/>
  <tableColumns count="8">
    <tableColumn id="1" xr3:uid="{6723296A-0FAE-4812-A1C8-5E65B28CF31A}" name="Date" totalsRowLabel="Total" dataDxfId="31" totalsRowDxfId="23"/>
    <tableColumn id="6" xr3:uid="{A8528446-C566-4FF9-9ACA-9B1F224D5B09}" name="mois" dataDxfId="30" totalsRowDxfId="22"/>
    <tableColumn id="11" xr3:uid="{2623274E-F8A0-4374-96B7-526D520BEE20}" name="source" dataDxfId="29" totalsRowDxfId="21"/>
    <tableColumn id="2" xr3:uid="{FCC1C458-4E20-45BF-AD05-3CF6D2A91440}" name="Caegorie" dataDxfId="28" totalsRowDxfId="20"/>
    <tableColumn id="3" xr3:uid="{6030862D-35FE-49C0-ACD6-B2E80B663175}" name="Description" dataDxfId="27" totalsRowDxfId="19"/>
    <tableColumn id="4" xr3:uid="{4567CA9E-554B-4767-BC37-CBECAA3DEC02}" name="montant" totalsRowFunction="custom" dataDxfId="26" totalsRowDxfId="18">
      <totalsRowFormula>SUBTOTAL(109,depense[montant]) + [1]!depensesJuillet24[[#Totals],[montant]]</totalsRowFormula>
    </tableColumn>
    <tableColumn id="5" xr3:uid="{38A114A9-2D9B-4359-AA13-5E7C8F63E32B}" name="montant_CFA" totalsRowFunction="custom" dataDxfId="25" totalsRowDxfId="17">
      <calculatedColumnFormula>depense[[#This Row],[montant]]*60</calculatedColumnFormula>
      <totalsRowFormula>SUM(depense[montant_CFA])</totalsRowFormula>
    </tableColumn>
    <tableColumn id="7" xr3:uid="{A466DF92-CE35-4DCD-9153-09EB6565831F}" name="ID" dataDxfId="24" totalsRowDxfId="16"/>
  </tableColumns>
  <tableStyleInfo name="TableStyleLight8" showFirstColumn="0" showLastColumn="0" showRowStripes="0" showColumnStripes="1"/>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5E6ACF3-4674-4649-A1C1-0A8CF9ABB2BF}" name="Epargne" displayName="Epargne" ref="C6:H61" totalsRowCount="1">
  <autoFilter ref="C6:H60" xr:uid="{A5E6ACF3-4674-4649-A1C1-0A8CF9ABB2BF}"/>
  <tableColumns count="6">
    <tableColumn id="1" xr3:uid="{B175025D-2779-4CE2-9C4D-DE4B54FD2C60}" name="ID" totalsRowLabel="Total"/>
    <tableColumn id="2" xr3:uid="{1AFB2E6C-B074-4343-8577-A39652D43E04}" name="date" dataDxfId="13"/>
    <tableColumn id="3" xr3:uid="{AB943821-8755-498E-8FFD-E8284C07ED72}" name="source"/>
    <tableColumn id="4" xr3:uid="{35BCBF71-BE72-424F-BAE7-714169C60A9F}" name="Description"/>
    <tableColumn id="5" xr3:uid="{647AC458-C30D-4101-81FD-F46BBAC0E987}" name="montant" totalsRowFunction="sum"/>
    <tableColumn id="6" xr3:uid="{9B6A2DE3-B843-4753-8AAB-22CD586D822F}" name="montant_CFA" totalsRowFunction="sum">
      <calculatedColumnFormula>G7*60</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0F1F2F1-5119-44EC-8348-6A4223905F6B}" name="dime" displayName="dime" ref="M6:Q61" totalsRowCount="1">
  <autoFilter ref="M6:Q60" xr:uid="{C0F1F2F1-5119-44EC-8348-6A4223905F6B}"/>
  <tableColumns count="5">
    <tableColumn id="1" xr3:uid="{40EA9CDB-160D-461E-905E-9849870F38FD}" name="Date" totalsRowLabel="Total" dataDxfId="12" totalsRowDxfId="11"/>
    <tableColumn id="2" xr3:uid="{878D5ECE-7448-49BD-8761-D6F2568C77F5}" name="ID_revenue"/>
    <tableColumn id="3" xr3:uid="{E33E7B1D-E736-4E37-A9CF-D66CE34FAF02}" name="Description"/>
    <tableColumn id="4" xr3:uid="{FBC47788-D067-42B1-A001-E2EC7BC36771}" name="source"/>
    <tableColumn id="5" xr3:uid="{A0A8A2CB-CD93-4DF6-BD61-666349A83DF0}" name="montant" totalsRowFunction="sum"/>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BCE7DAD-FDD1-49D3-B715-4D0668737607}" name="Table13" displayName="Table13" ref="C5:E15" totalsRowShown="0">
  <autoFilter ref="C5:E15" xr:uid="{7BCE7DAD-FDD1-49D3-B715-4D0668737607}"/>
  <tableColumns count="3">
    <tableColumn id="1" xr3:uid="{662BE6AE-8551-4EBD-A37A-33927594A6C5}" name="Metrics"/>
    <tableColumn id="2" xr3:uid="{5257891D-7690-4D6D-8F81-DEF84A6C4DE8}" name="Valeurs_MAD" dataDxfId="14">
      <calculatedColumnFormula>revenuXYZ[[#Totals],[montant]]</calculatedColumnFormula>
    </tableColumn>
    <tableColumn id="3" xr3:uid="{A5D8AA4E-5B1F-470A-9516-5F6E827E91C2}" name="Valeur_CFA">
      <calculatedColumnFormula>D6*60</calculatedColumnFormula>
    </tableColumn>
  </tableColumns>
  <tableStyleInfo name="TableStyleMedium8" showFirstColumn="1" showLastColumn="0" showRowStripes="0" showColumnStripes="1"/>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ctrlProp" Target="../ctrlProps/ctrlProp1.xml"/><Relationship Id="rId12" Type="http://schemas.openxmlformats.org/officeDocument/2006/relationships/table" Target="../tables/table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11" Type="http://schemas.openxmlformats.org/officeDocument/2006/relationships/table" Target="../tables/table3.xml"/><Relationship Id="rId5" Type="http://schemas.openxmlformats.org/officeDocument/2006/relationships/control" Target="../activeX/activeX1.xml"/><Relationship Id="rId10" Type="http://schemas.openxmlformats.org/officeDocument/2006/relationships/table" Target="../tables/table2.xml"/><Relationship Id="rId4" Type="http://schemas.openxmlformats.org/officeDocument/2006/relationships/vmlDrawing" Target="../drawings/vmlDrawing2.v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drawing" Target="../drawings/drawing2.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3.xml.rels><?xml version="1.0" encoding="UTF-8" standalone="yes"?>
<Relationships xmlns="http://schemas.openxmlformats.org/package/2006/relationships"><Relationship Id="rId1" Type="http://schemas.openxmlformats.org/officeDocument/2006/relationships/table" Target="../tables/table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table" Target="../tables/table6.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openxmlformats.org/officeDocument/2006/relationships/table" Target="../tables/table7.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printerSettings" Target="../printerSettings/printerSettings4.bin"/><Relationship Id="rId7" Type="http://schemas.openxmlformats.org/officeDocument/2006/relationships/ctrlProp" Target="../ctrlProps/ctrlProp6.xml"/><Relationship Id="rId2" Type="http://schemas.openxmlformats.org/officeDocument/2006/relationships/pivotTable" Target="../pivotTables/pivotTable16.xml"/><Relationship Id="rId1" Type="http://schemas.openxmlformats.org/officeDocument/2006/relationships/pivotTable" Target="../pivotTables/pivotTable15.xml"/><Relationship Id="rId6" Type="http://schemas.openxmlformats.org/officeDocument/2006/relationships/ctrlProp" Target="../ctrlProps/ctrlProp5.xml"/><Relationship Id="rId5" Type="http://schemas.openxmlformats.org/officeDocument/2006/relationships/vmlDrawing" Target="../drawings/vmlDrawing5.vml"/><Relationship Id="rId4" Type="http://schemas.openxmlformats.org/officeDocument/2006/relationships/drawing" Target="../drawings/drawing5.xml"/><Relationship Id="rId9" Type="http://schemas.microsoft.com/office/2007/relationships/slicer" Target="../slicers/slicer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C8AD56-8E34-4544-8162-0406A0A9AB72}">
  <sheetPr codeName="Feuil1"/>
  <dimension ref="B1:W71"/>
  <sheetViews>
    <sheetView showGridLines="0" tabSelected="1" view="pageLayout" topLeftCell="B1" zoomScale="54" zoomScaleNormal="70" zoomScalePageLayoutView="54" workbookViewId="0">
      <selection activeCell="L28" sqref="L28:L31"/>
    </sheetView>
  </sheetViews>
  <sheetFormatPr defaultColWidth="10.90625" defaultRowHeight="14.5" x14ac:dyDescent="0.35"/>
  <cols>
    <col min="1" max="1" width="5.453125" customWidth="1"/>
    <col min="2" max="2" width="18" customWidth="1"/>
    <col min="3" max="3" width="13" customWidth="1"/>
    <col min="4" max="4" width="14.08984375" customWidth="1"/>
    <col min="5" max="10" width="13" customWidth="1"/>
    <col min="11" max="14" width="14.26953125" customWidth="1"/>
    <col min="15" max="15" width="14.1796875" customWidth="1"/>
    <col min="16" max="16" width="8.1796875" customWidth="1"/>
    <col min="17" max="17" width="8.7265625" customWidth="1"/>
    <col min="18" max="18" width="0.1796875" customWidth="1"/>
    <col min="19" max="19" width="2" customWidth="1"/>
    <col min="20" max="20" width="16.54296875" customWidth="1"/>
    <col min="21" max="21" width="15.08984375" customWidth="1"/>
    <col min="22" max="22" width="19.81640625" customWidth="1"/>
    <col min="23" max="24" width="17.7265625" customWidth="1"/>
    <col min="25" max="25" width="15.90625" customWidth="1"/>
    <col min="29" max="29" width="16.36328125" customWidth="1"/>
    <col min="30" max="30" width="7.1796875" customWidth="1"/>
    <col min="31" max="31" width="15.08984375" customWidth="1"/>
    <col min="32" max="32" width="23.90625" customWidth="1"/>
    <col min="33" max="33" width="61.6328125" customWidth="1"/>
    <col min="34" max="34" width="20.54296875" customWidth="1"/>
    <col min="35" max="35" width="23.54296875" customWidth="1"/>
  </cols>
  <sheetData>
    <row r="1" spans="2:15" ht="30" customHeight="1" x14ac:dyDescent="0.35">
      <c r="B1" s="43" t="s">
        <v>0</v>
      </c>
      <c r="C1" s="43"/>
      <c r="D1" s="43"/>
      <c r="E1" s="43"/>
      <c r="F1" s="43"/>
      <c r="G1" s="43"/>
      <c r="H1" s="43"/>
      <c r="I1" s="43"/>
      <c r="J1" s="43"/>
      <c r="K1" s="43"/>
      <c r="L1" s="43"/>
      <c r="M1" s="43"/>
      <c r="N1" s="43"/>
      <c r="O1" s="43"/>
    </row>
    <row r="2" spans="2:15" ht="14" customHeight="1" x14ac:dyDescent="0.45">
      <c r="B2" s="1"/>
      <c r="C2" s="1"/>
      <c r="D2" s="1"/>
      <c r="E2" s="1"/>
      <c r="F2" s="1"/>
      <c r="G2" s="1"/>
      <c r="H2" s="1"/>
      <c r="I2" s="1"/>
      <c r="J2" s="1"/>
      <c r="K2" s="1"/>
      <c r="L2" s="1"/>
      <c r="M2" s="1"/>
      <c r="N2" s="1"/>
      <c r="O2" s="1"/>
    </row>
    <row r="3" spans="2:15" ht="24" customHeight="1" x14ac:dyDescent="0.45">
      <c r="B3" s="73" t="s">
        <v>156</v>
      </c>
      <c r="C3" s="73"/>
      <c r="D3" s="72" t="s">
        <v>1</v>
      </c>
      <c r="E3" s="72" t="s">
        <v>158</v>
      </c>
      <c r="F3" s="72" t="s">
        <v>159</v>
      </c>
      <c r="G3" s="72" t="s">
        <v>99</v>
      </c>
      <c r="H3" s="72" t="s">
        <v>39</v>
      </c>
      <c r="I3" s="72" t="s">
        <v>88</v>
      </c>
      <c r="J3" s="72" t="s">
        <v>160</v>
      </c>
      <c r="K3" s="72" t="s">
        <v>37</v>
      </c>
      <c r="L3" s="72" t="s">
        <v>161</v>
      </c>
      <c r="M3" s="72" t="s">
        <v>162</v>
      </c>
      <c r="N3" s="91" t="s">
        <v>197</v>
      </c>
      <c r="O3" s="91" t="s">
        <v>196</v>
      </c>
    </row>
    <row r="4" spans="2:15" ht="30" customHeight="1" x14ac:dyDescent="0.45">
      <c r="B4" s="73" t="s">
        <v>157</v>
      </c>
      <c r="C4" s="73"/>
      <c r="D4" s="86">
        <f>Calculs!D6</f>
        <v>153991</v>
      </c>
      <c r="E4" s="83">
        <f>Calculs!D7</f>
        <v>15399.1</v>
      </c>
      <c r="F4" s="84">
        <f>Calculs!D8</f>
        <v>30798.2</v>
      </c>
      <c r="G4" s="87">
        <f>Calculs!D9</f>
        <v>44805</v>
      </c>
      <c r="H4" s="84">
        <f>Calculs!D10</f>
        <v>109186</v>
      </c>
      <c r="I4" s="84">
        <f>Calculs!D11</f>
        <v>15399.1</v>
      </c>
      <c r="J4" s="87">
        <f>Calculs!D12</f>
        <v>93786.9</v>
      </c>
      <c r="K4" s="85">
        <f>Calculs!D13</f>
        <v>7699.55</v>
      </c>
      <c r="L4" s="85">
        <f>Calculs!D14</f>
        <v>92786.9</v>
      </c>
      <c r="M4" s="85">
        <f>Calculs!D15</f>
        <v>1000</v>
      </c>
      <c r="N4" s="1">
        <f>E4-K4</f>
        <v>7699.55</v>
      </c>
      <c r="O4" s="1">
        <f>F4-I4</f>
        <v>15399.1</v>
      </c>
    </row>
    <row r="5" spans="2:15" ht="16" customHeight="1" x14ac:dyDescent="0.45">
      <c r="D5" s="1"/>
      <c r="E5" s="1"/>
      <c r="F5" s="1"/>
      <c r="G5" s="1"/>
      <c r="H5" s="1"/>
      <c r="I5" s="1"/>
      <c r="J5" s="1"/>
      <c r="K5" s="1"/>
      <c r="L5" s="1"/>
      <c r="M5" s="1"/>
      <c r="N5" s="1"/>
      <c r="O5" s="1"/>
    </row>
    <row r="6" spans="2:15" ht="21" x14ac:dyDescent="0.5">
      <c r="B6" s="71" t="s">
        <v>1</v>
      </c>
      <c r="C6" s="71"/>
      <c r="D6" s="71"/>
      <c r="E6" s="71"/>
      <c r="F6" s="71"/>
      <c r="G6" s="71"/>
      <c r="H6" s="71"/>
      <c r="I6" s="71"/>
      <c r="J6" s="71"/>
      <c r="K6" s="71"/>
      <c r="L6" s="71"/>
      <c r="M6" s="71"/>
      <c r="N6" s="71"/>
      <c r="O6" s="71"/>
    </row>
    <row r="7" spans="2:15" ht="18.5" x14ac:dyDescent="0.45">
      <c r="B7" s="2" t="s">
        <v>2</v>
      </c>
      <c r="C7" s="3" t="s">
        <v>3</v>
      </c>
      <c r="D7" s="3" t="s">
        <v>4</v>
      </c>
      <c r="E7" s="3" t="s">
        <v>5</v>
      </c>
      <c r="F7" s="3" t="s">
        <v>13</v>
      </c>
      <c r="G7" s="3" t="s">
        <v>6</v>
      </c>
      <c r="H7" s="3" t="s">
        <v>7</v>
      </c>
      <c r="I7" s="3" t="s">
        <v>8</v>
      </c>
      <c r="J7" s="3" t="s">
        <v>9</v>
      </c>
      <c r="K7" s="4" t="s">
        <v>10</v>
      </c>
      <c r="L7" s="2" t="s">
        <v>11</v>
      </c>
      <c r="M7" s="3" t="s">
        <v>12</v>
      </c>
      <c r="N7" s="3" t="s">
        <v>14</v>
      </c>
      <c r="O7" s="3" t="s">
        <v>15</v>
      </c>
    </row>
    <row r="8" spans="2:15" ht="18.5" x14ac:dyDescent="0.45">
      <c r="B8" s="1" t="s">
        <v>16</v>
      </c>
      <c r="C8" s="1">
        <f>SUMIFS(revenuXYZ[montant],revenuXYZ[categorie],$B8,revenuXYZ[mois],1)</f>
        <v>10000</v>
      </c>
      <c r="D8" s="1">
        <f>SUMIFS(revenuXYZ[montant],revenuXYZ[categorie],$B8,revenuXYZ[mois],2)</f>
        <v>20000</v>
      </c>
      <c r="E8" s="1">
        <f>SUMIFS(revenuXYZ[montant],revenuXYZ[categorie],$B8,revenuXYZ[mois],3)</f>
        <v>10200</v>
      </c>
      <c r="F8" s="1">
        <f>SUMIFS(revenuXYZ[montant],revenuXYZ[categorie],$B8,revenuXYZ[mois],4)</f>
        <v>10100</v>
      </c>
      <c r="G8" s="1">
        <f>SUMIFS(revenuXYZ[montant],revenuXYZ[categorie],$B8,revenuXYZ[mois],5)</f>
        <v>0</v>
      </c>
      <c r="H8" s="1">
        <f>SUMIFS(revenuXYZ[montant],revenuXYZ[categorie],$B8,revenuXYZ[mois],6)</f>
        <v>0</v>
      </c>
      <c r="I8" s="1">
        <f>SUMIFS(revenuXYZ[montant],revenuXYZ[categorie],$B8,revenuXYZ[mois],7)</f>
        <v>25621</v>
      </c>
      <c r="J8" s="1">
        <f>SUMIFS(revenuXYZ[montant],revenuXYZ[categorie],$B8,revenuXYZ[mois],8)</f>
        <v>0</v>
      </c>
      <c r="K8" s="1">
        <f>SUMIFS(revenuXYZ[montant],revenuXYZ[categorie],$B8,revenuXYZ[mois],9)</f>
        <v>13000</v>
      </c>
      <c r="L8" s="1">
        <f>SUMIFS(revenuXYZ[montant],revenuXYZ[categorie],$B8,revenuXYZ[mois],10)</f>
        <v>0</v>
      </c>
      <c r="M8" s="1">
        <f>SUMIFS(revenuXYZ[montant],revenuXYZ[categorie],$B8,revenuXYZ[mois],11)</f>
        <v>23000</v>
      </c>
      <c r="N8" s="1">
        <f>SUMIFS(revenuXYZ[montant],revenuXYZ[categorie],$B8,revenuXYZ[mois],12)</f>
        <v>14000</v>
      </c>
      <c r="O8" s="1">
        <f>SUM(C8:N8)</f>
        <v>125921</v>
      </c>
    </row>
    <row r="9" spans="2:15" ht="18.5" x14ac:dyDescent="0.45">
      <c r="B9" s="1" t="s">
        <v>17</v>
      </c>
      <c r="C9" s="1">
        <f>SUMIFS(revenuXYZ[montant],revenuXYZ[categorie],$B9,revenuXYZ[mois],1)</f>
        <v>2700</v>
      </c>
      <c r="D9" s="1">
        <f>SUMIFS(revenuXYZ[montant],revenuXYZ[categorie],$B9,revenuXYZ[mois],2)</f>
        <v>1850</v>
      </c>
      <c r="E9" s="1">
        <f>SUMIFS(revenuXYZ[montant],revenuXYZ[categorie],$B9,revenuXYZ[mois],3)</f>
        <v>2300</v>
      </c>
      <c r="F9" s="1">
        <f>SUMIFS(revenuXYZ[montant],revenuXYZ[categorie],$B9,revenuXYZ[mois],4)</f>
        <v>0</v>
      </c>
      <c r="G9" s="1">
        <f>SUMIFS(revenuXYZ[montant],revenuXYZ[categorie],$B9,revenuXYZ[mois],5)</f>
        <v>100</v>
      </c>
      <c r="H9" s="1">
        <f>SUMIFS(revenuXYZ[montant],revenuXYZ[categorie],$B9,revenuXYZ[mois],6)</f>
        <v>1000</v>
      </c>
      <c r="I9" s="1">
        <f>SUMIFS(revenuXYZ[montant],revenuXYZ[categorie],$B9,revenuXYZ[mois],7)</f>
        <v>10961</v>
      </c>
      <c r="J9" s="1">
        <f>SUMIFS(revenuXYZ[montant],revenuXYZ[categorie],$B9,revenuXYZ[mois],8)</f>
        <v>0</v>
      </c>
      <c r="K9" s="1">
        <f>SUMIFS(revenuXYZ[montant],revenuXYZ[categorie],$B9,revenuXYZ[mois],9)</f>
        <v>0</v>
      </c>
      <c r="L9" s="1">
        <f>SUMIFS(revenuXYZ[montant],revenuXYZ[categorie],$B9,revenuXYZ[mois],10)</f>
        <v>0</v>
      </c>
      <c r="M9" s="1">
        <f>SUMIFS(revenuXYZ[montant],revenuXYZ[categorie],$B9,revenuXYZ[mois],11)</f>
        <v>0</v>
      </c>
      <c r="N9" s="1">
        <f>SUMIFS(revenuXYZ[montant],revenuXYZ[categorie],$B9,revenuXYZ[mois],12)</f>
        <v>0</v>
      </c>
      <c r="O9" s="1">
        <f>SUM(C9:N9)</f>
        <v>18911</v>
      </c>
    </row>
    <row r="10" spans="2:15" ht="18.5" x14ac:dyDescent="0.45">
      <c r="B10" s="1" t="s">
        <v>35</v>
      </c>
      <c r="C10" s="1">
        <f>SUMIFS(revenuXYZ[montant],revenuXYZ[categorie],$B10,revenuXYZ[mois],1)</f>
        <v>900</v>
      </c>
      <c r="D10" s="1">
        <f>SUMIFS(revenuXYZ[montant],revenuXYZ[categorie],$B10,revenuXYZ[mois],2)</f>
        <v>644</v>
      </c>
      <c r="E10" s="1">
        <f>SUMIFS(revenuXYZ[montant],revenuXYZ[categorie],$B10,revenuXYZ[mois],3)</f>
        <v>200</v>
      </c>
      <c r="F10" s="1">
        <f>SUMIFS(revenuXYZ[montant],revenuXYZ[categorie],$B10,revenuXYZ[mois],4)</f>
        <v>550</v>
      </c>
      <c r="G10" s="1">
        <f>SUMIFS(revenuXYZ[montant],revenuXYZ[categorie],$B10,revenuXYZ[mois],5)</f>
        <v>0</v>
      </c>
      <c r="H10" s="1">
        <f>SUMIFS(revenuXYZ[montant],revenuXYZ[categorie],$B10,revenuXYZ[mois],6)</f>
        <v>240</v>
      </c>
      <c r="I10" s="1">
        <f>SUMIFS(revenuXYZ[montant],revenuXYZ[categorie],$B10,revenuXYZ[mois],7)</f>
        <v>685</v>
      </c>
      <c r="J10" s="1">
        <f>SUMIFS(revenuXYZ[montant],revenuXYZ[categorie],$B10,revenuXYZ[mois],8)</f>
        <v>1000</v>
      </c>
      <c r="K10" s="1">
        <f>SUMIFS(revenuXYZ[montant],revenuXYZ[categorie],$B10,revenuXYZ[mois],9)</f>
        <v>0</v>
      </c>
      <c r="L10" s="1">
        <f>SUMIFS(revenuXYZ[montant],revenuXYZ[categorie],$B10,revenuXYZ[mois],10)</f>
        <v>3640</v>
      </c>
      <c r="M10" s="1">
        <f>SUMIFS(revenuXYZ[montant],revenuXYZ[categorie],$B10,revenuXYZ[mois],11)</f>
        <v>0</v>
      </c>
      <c r="N10" s="1">
        <f>SUMIFS(revenuXYZ[montant],revenuXYZ[categorie],$B10,revenuXYZ[mois],12)</f>
        <v>0</v>
      </c>
      <c r="O10" s="1">
        <f>SUM(C10:N10)</f>
        <v>7859</v>
      </c>
    </row>
    <row r="11" spans="2:15" ht="18.5" x14ac:dyDescent="0.45">
      <c r="B11" s="1" t="s">
        <v>18</v>
      </c>
      <c r="C11" s="1">
        <f>SUMIFS(revenuXYZ[montant],revenuXYZ[categorie],$B11,revenuXYZ[mois],1)</f>
        <v>1000</v>
      </c>
      <c r="D11" s="1">
        <f>SUMIFS(revenuXYZ[montant],revenuXYZ[categorie],$B11,revenuXYZ[mois],2)</f>
        <v>0</v>
      </c>
      <c r="E11" s="1">
        <f>SUMIFS(revenuXYZ[montant],revenuXYZ[categorie],$B11,revenuXYZ[mois],3)</f>
        <v>0</v>
      </c>
      <c r="F11" s="1">
        <f>SUMIFS(revenuXYZ[montant],revenuXYZ[categorie],$B11,revenuXYZ[mois],4)</f>
        <v>0</v>
      </c>
      <c r="G11" s="1">
        <f>SUMIFS(revenuXYZ[montant],revenuXYZ[categorie],$B11,revenuXYZ[mois],5)</f>
        <v>0</v>
      </c>
      <c r="H11" s="1">
        <f>SUMIFS(revenuXYZ[montant],revenuXYZ[categorie],$B11,revenuXYZ[mois],6)</f>
        <v>0</v>
      </c>
      <c r="I11" s="1">
        <f>SUMIFS(revenuXYZ[montant],revenuXYZ[categorie],$B11,revenuXYZ[mois],7)</f>
        <v>0</v>
      </c>
      <c r="J11" s="1">
        <f>SUMIFS(revenuXYZ[montant],revenuXYZ[categorie],$B11,revenuXYZ[mois],8)</f>
        <v>0</v>
      </c>
      <c r="K11" s="1">
        <f>SUMIFS(revenuXYZ[montant],revenuXYZ[categorie],$B11,revenuXYZ[mois],9)</f>
        <v>0</v>
      </c>
      <c r="L11" s="1">
        <f>SUMIFS(revenuXYZ[montant],revenuXYZ[categorie],$B11,revenuXYZ[mois],10)</f>
        <v>300</v>
      </c>
      <c r="M11" s="1">
        <f>SUMIFS(revenuXYZ[montant],revenuXYZ[categorie],$B11,revenuXYZ[mois],11)</f>
        <v>0</v>
      </c>
      <c r="N11" s="1">
        <f>SUMIFS(revenuXYZ[montant],revenuXYZ[categorie],$B11,revenuXYZ[mois],12)</f>
        <v>0</v>
      </c>
      <c r="O11" s="1">
        <f>SUM(C11:N11)</f>
        <v>1300</v>
      </c>
    </row>
    <row r="12" spans="2:15" ht="28" customHeight="1" x14ac:dyDescent="0.5">
      <c r="B12" s="8" t="s">
        <v>24</v>
      </c>
      <c r="C12" s="8">
        <f>SUM(revenue[Janv.])</f>
        <v>14600</v>
      </c>
      <c r="D12" s="8">
        <f>SUM(revenue[Fev.])</f>
        <v>22494</v>
      </c>
      <c r="E12" s="8">
        <f>SUM(revenue[Mars.])</f>
        <v>12700</v>
      </c>
      <c r="F12" s="8">
        <f>SUM(revenue[Avril])</f>
        <v>10650</v>
      </c>
      <c r="G12" s="8">
        <f>SUM(revenue[Mai])</f>
        <v>100</v>
      </c>
      <c r="H12" s="8">
        <f>SUM(revenue[Juin])</f>
        <v>1240</v>
      </c>
      <c r="I12" s="8">
        <f>SUM(revenue[Juillet])</f>
        <v>37267</v>
      </c>
      <c r="J12" s="8">
        <f>SUM(revenue[Aout])</f>
        <v>1000</v>
      </c>
      <c r="K12" s="8">
        <f>SUM(revenue[Sept.])</f>
        <v>13000</v>
      </c>
      <c r="L12" s="8">
        <f>SUM(revenue[Oct.])</f>
        <v>3940</v>
      </c>
      <c r="M12" s="8">
        <f>SUM(revenue[Nov.])</f>
        <v>23000</v>
      </c>
      <c r="N12" s="8">
        <f>SUM(revenue[Dec])</f>
        <v>14000</v>
      </c>
      <c r="O12" s="8">
        <f>SUBTOTAL(109,revenue[Year to Date])</f>
        <v>153991</v>
      </c>
    </row>
    <row r="13" spans="2:15" ht="13.5" customHeight="1" x14ac:dyDescent="0.45">
      <c r="B13" s="1"/>
      <c r="C13" s="1"/>
      <c r="D13" s="1"/>
      <c r="E13" s="1"/>
      <c r="F13" s="1"/>
      <c r="G13" s="1"/>
      <c r="H13" s="1"/>
      <c r="I13" s="1"/>
      <c r="J13" s="1"/>
      <c r="K13" s="1"/>
      <c r="L13" s="1"/>
      <c r="M13" s="1"/>
      <c r="N13" s="1"/>
      <c r="O13" s="1"/>
    </row>
    <row r="14" spans="2:15" ht="17" customHeight="1" thickBot="1" x14ac:dyDescent="0.5">
      <c r="B14" s="1"/>
      <c r="C14" s="1"/>
      <c r="D14" s="1"/>
      <c r="E14" s="1"/>
      <c r="F14" s="1"/>
      <c r="G14" s="1"/>
      <c r="H14" s="1"/>
      <c r="I14" s="1"/>
      <c r="J14" s="1"/>
      <c r="K14" s="1"/>
      <c r="L14" s="1"/>
      <c r="M14" s="1"/>
      <c r="N14" s="1"/>
      <c r="O14" s="1"/>
    </row>
    <row r="15" spans="2:15" ht="21.5" thickTop="1" x14ac:dyDescent="0.5">
      <c r="B15" s="44" t="s">
        <v>19</v>
      </c>
      <c r="C15" s="45"/>
      <c r="D15" s="45"/>
      <c r="E15" s="45"/>
      <c r="F15" s="45"/>
      <c r="G15" s="45"/>
      <c r="H15" s="45"/>
      <c r="I15" s="45"/>
      <c r="J15" s="45"/>
      <c r="K15" s="45"/>
      <c r="L15" s="45"/>
      <c r="M15" s="45"/>
      <c r="N15" s="45"/>
      <c r="O15" s="46"/>
    </row>
    <row r="16" spans="2:15" ht="18.5" x14ac:dyDescent="0.45">
      <c r="B16" s="2" t="s">
        <v>2</v>
      </c>
      <c r="C16" s="3" t="s">
        <v>3</v>
      </c>
      <c r="D16" s="3" t="s">
        <v>4</v>
      </c>
      <c r="E16" s="3" t="s">
        <v>5</v>
      </c>
      <c r="F16" s="3" t="s">
        <v>13</v>
      </c>
      <c r="G16" s="3" t="s">
        <v>6</v>
      </c>
      <c r="H16" s="3" t="s">
        <v>7</v>
      </c>
      <c r="I16" s="3" t="s">
        <v>8</v>
      </c>
      <c r="J16" s="3" t="s">
        <v>9</v>
      </c>
      <c r="K16" s="4" t="s">
        <v>10</v>
      </c>
      <c r="L16" s="2" t="s">
        <v>11</v>
      </c>
      <c r="M16" s="3" t="s">
        <v>12</v>
      </c>
      <c r="N16" s="3" t="s">
        <v>14</v>
      </c>
      <c r="O16" s="3" t="s">
        <v>15</v>
      </c>
    </row>
    <row r="17" spans="2:15" ht="18.5" x14ac:dyDescent="0.45">
      <c r="B17" s="42" t="s">
        <v>23</v>
      </c>
      <c r="C17" s="42"/>
      <c r="D17" s="42"/>
      <c r="E17" s="42"/>
      <c r="F17" s="42"/>
      <c r="G17" s="42"/>
      <c r="H17" s="42"/>
      <c r="I17" s="42"/>
      <c r="J17" s="42"/>
      <c r="K17" s="42"/>
      <c r="L17" s="42"/>
      <c r="M17" s="42"/>
      <c r="N17" s="42"/>
      <c r="O17" s="42"/>
    </row>
    <row r="18" spans="2:15" ht="18.5" x14ac:dyDescent="0.45">
      <c r="B18" s="1" t="s">
        <v>20</v>
      </c>
      <c r="C18" s="1">
        <f>SUMIFS(depense[montant],depense[Caegorie],$B18,depense[mois],1)</f>
        <v>3000</v>
      </c>
      <c r="D18" s="1">
        <f>SUMIFS(depense[montant],depense[Caegorie],$B18,depense[mois],2)</f>
        <v>3000</v>
      </c>
      <c r="E18" s="1">
        <f>SUMIFS(depense[montant],depense[Caegorie],$B18,depense[mois],3)</f>
        <v>3000</v>
      </c>
      <c r="F18" s="1">
        <f>SUMIFS(depense[montant],depense[Caegorie],$B18,depense[mois],4)</f>
        <v>3000</v>
      </c>
      <c r="G18" s="1">
        <f>SUMIFS(depense[montant],depense[Caegorie],$B18,depense[mois],5)</f>
        <v>3500</v>
      </c>
      <c r="H18" s="1">
        <f>SUMIFS(depense[montant],depense[Caegorie],$B18,depense[mois],6)</f>
        <v>3500</v>
      </c>
      <c r="I18" s="1">
        <f>SUMIFS(depense[montant],depense[Caegorie],$B18,depense[mois],7)</f>
        <v>1000</v>
      </c>
      <c r="J18" s="1">
        <f>SUMIFS(depense[montant],depense[Caegorie],$B18,depense[mois],8)</f>
        <v>3000</v>
      </c>
      <c r="K18" s="1">
        <f>SUMIFS(depense[montant],depense[Caegorie],$B18,depense[mois],9)</f>
        <v>3500</v>
      </c>
      <c r="L18" s="1">
        <f>SUMIFS(depense[montant],depense[Caegorie],$B18,depense[mois],10)</f>
        <v>4000</v>
      </c>
      <c r="M18" s="1">
        <f>SUMIFS(depense[montant],depense[Caegorie],$B18,depense[mois],11)</f>
        <v>4000</v>
      </c>
      <c r="N18" s="1">
        <f>SUMIFS(depense[montant],depense[Caegorie],$B18,depense[mois],12)</f>
        <v>5000</v>
      </c>
      <c r="O18" s="1">
        <f>SUM(maison[[#This Row],[Colonne2]:[Colonne13]])</f>
        <v>39500</v>
      </c>
    </row>
    <row r="19" spans="2:15" ht="18.5" x14ac:dyDescent="0.45">
      <c r="B19" s="1" t="s">
        <v>78</v>
      </c>
      <c r="C19" s="1">
        <f>SUMIFS(depense[montant],depense[Caegorie],$B19,depense[mois],1)</f>
        <v>200</v>
      </c>
      <c r="D19" s="1">
        <f>SUMIFS(depense[montant],depense[Caegorie],$B19,depense[mois],2)</f>
        <v>130</v>
      </c>
      <c r="E19" s="1">
        <f>SUMIFS(depense[montant],depense[Caegorie],$B19,depense[mois],3)</f>
        <v>100</v>
      </c>
      <c r="F19" s="1">
        <f>SUMIFS(depense[montant],depense[Caegorie],$B19,depense[mois],4)</f>
        <v>0</v>
      </c>
      <c r="G19" s="1">
        <f>SUMIFS(depense[montant],depense[Caegorie],$B19,depense[mois],5)</f>
        <v>0</v>
      </c>
      <c r="H19" s="1">
        <f>SUMIFS(depense[montant],depense[Caegorie],$B19,depense[mois],6)</f>
        <v>0</v>
      </c>
      <c r="I19" s="1">
        <f>SUMIFS(depense[montant],depense[Caegorie],$B19,depense[mois],7)</f>
        <v>200</v>
      </c>
      <c r="J19" s="1">
        <f>SUMIFS(depense[montant],depense[Caegorie],$B19,depense[mois],8)</f>
        <v>0</v>
      </c>
      <c r="K19" s="1">
        <f>SUMIFS(depense[montant],depense[Caegorie],$B19,depense[mois],9)</f>
        <v>300</v>
      </c>
      <c r="L19" s="1">
        <f>SUMIFS(depense[montant],depense[Caegorie],$B19,depense[mois],10)</f>
        <v>0</v>
      </c>
      <c r="M19" s="1">
        <f>SUMIFS(depense[montant],depense[Caegorie],$B19,depense[mois],11)</f>
        <v>0</v>
      </c>
      <c r="N19" s="1">
        <f>SUMIFS(depense[montant],depense[Caegorie],$B19,depense[mois],12)</f>
        <v>0</v>
      </c>
      <c r="O19" s="1">
        <f>SUM(maison[[#This Row],[Colonne2]:[Colonne13]])</f>
        <v>930</v>
      </c>
    </row>
    <row r="20" spans="2:15" ht="18.5" x14ac:dyDescent="0.45">
      <c r="B20" s="1" t="s">
        <v>25</v>
      </c>
      <c r="C20" s="1">
        <f>SUMIFS(depense[montant],depense[Caegorie],$B20,depense[mois],1)</f>
        <v>50</v>
      </c>
      <c r="D20" s="1">
        <f>SUMIFS(depense[montant],depense[Caegorie],$B20,depense[mois],2)</f>
        <v>73</v>
      </c>
      <c r="E20" s="1">
        <f>SUMIFS(depense[montant],depense[Caegorie],$B20,depense[mois],3)</f>
        <v>50</v>
      </c>
      <c r="F20" s="1">
        <f>SUMIFS(depense[montant],depense[Caegorie],$B20,depense[mois],4)</f>
        <v>0</v>
      </c>
      <c r="G20" s="1">
        <f>SUMIFS(depense[montant],depense[Caegorie],$B20,depense[mois],5)</f>
        <v>0</v>
      </c>
      <c r="H20" s="1">
        <f>SUMIFS(depense[montant],depense[Caegorie],$B20,depense[mois],6)</f>
        <v>0</v>
      </c>
      <c r="I20" s="1">
        <f>SUMIFS(depense[montant],depense[Caegorie],$B20,depense[mois],7)</f>
        <v>0</v>
      </c>
      <c r="J20" s="1">
        <f>SUMIFS(depense[montant],depense[Caegorie],$B20,depense[mois],8)</f>
        <v>0</v>
      </c>
      <c r="K20" s="1">
        <f>SUMIFS(depense[montant],depense[Caegorie],$B20,depense[mois],9)</f>
        <v>0</v>
      </c>
      <c r="L20" s="1">
        <f>SUMIFS(depense[montant],depense[Caegorie],$B20,depense[mois],10)</f>
        <v>0</v>
      </c>
      <c r="M20" s="1">
        <f>SUMIFS(depense[montant],depense[Caegorie],$B20,depense[mois],11)</f>
        <v>0</v>
      </c>
      <c r="N20" s="1">
        <f>SUMIFS(depense[montant],depense[Caegorie],$B20,depense[mois],12)</f>
        <v>0</v>
      </c>
      <c r="O20" s="1">
        <f>SUM(maison[[#This Row],[Colonne2]:[Colonne13]])</f>
        <v>173</v>
      </c>
    </row>
    <row r="21" spans="2:15" ht="18.5" x14ac:dyDescent="0.45">
      <c r="B21" s="1" t="s">
        <v>117</v>
      </c>
      <c r="C21" s="1">
        <f>SUMIFS(depense[montant],depense[Caegorie],$B21,depense[mois],1)</f>
        <v>350</v>
      </c>
      <c r="D21" s="1">
        <f>SUMIFS(depense[montant],depense[Caegorie],$B21,depense[mois],2)</f>
        <v>200</v>
      </c>
      <c r="E21" s="1">
        <f>SUMIFS(depense[montant],depense[Caegorie],$B21,depense[mois],3)</f>
        <v>200</v>
      </c>
      <c r="F21" s="1">
        <f>SUMIFS(depense[montant],depense[Caegorie],$B21,depense[mois],4)</f>
        <v>0</v>
      </c>
      <c r="G21" s="1">
        <f>SUMIFS(depense[montant],depense[Caegorie],$B21,depense[mois],5)</f>
        <v>0</v>
      </c>
      <c r="H21" s="1">
        <f>SUMIFS(depense[montant],depense[Caegorie],$B21,depense[mois],6)</f>
        <v>0</v>
      </c>
      <c r="I21" s="1">
        <f>SUMIFS(depense[montant],depense[Caegorie],$B21,depense[mois],7)</f>
        <v>20</v>
      </c>
      <c r="J21" s="1">
        <f>SUMIFS(depense[montant],depense[Caegorie],$B21,depense[mois],8)</f>
        <v>0</v>
      </c>
      <c r="K21" s="1">
        <f>SUMIFS(depense[montant],depense[Caegorie],$B21,depense[mois],9)</f>
        <v>0</v>
      </c>
      <c r="L21" s="1">
        <f>SUMIFS(depense[montant],depense[Caegorie],$B21,depense[mois],10)</f>
        <v>0</v>
      </c>
      <c r="M21" s="1">
        <f>SUMIFS(depense[montant],depense[Caegorie],$B21,depense[mois],11)</f>
        <v>0</v>
      </c>
      <c r="N21" s="1">
        <f>SUMIFS(depense[montant],depense[Caegorie],$B21,depense[mois],12)</f>
        <v>0</v>
      </c>
      <c r="O21" s="1">
        <f>SUM(maison[[#This Row],[Colonne2]:[Colonne13]])</f>
        <v>770</v>
      </c>
    </row>
    <row r="22" spans="2:15" ht="18.5" x14ac:dyDescent="0.45">
      <c r="B22" s="1" t="s">
        <v>26</v>
      </c>
      <c r="C22" s="1">
        <f>SUMIFS(depense[montant],depense[Caegorie],$B22,depense[mois],1)</f>
        <v>100</v>
      </c>
      <c r="D22" s="1">
        <f>SUMIFS(depense[montant],depense[Caegorie],$B22,depense[mois],2)</f>
        <v>0</v>
      </c>
      <c r="E22" s="1">
        <f>SUMIFS(depense[montant],depense[Caegorie],$B22,depense[mois],3)</f>
        <v>60</v>
      </c>
      <c r="F22" s="1">
        <f>SUMIFS(depense[montant],depense[Caegorie],$B22,depense[mois],4)</f>
        <v>0</v>
      </c>
      <c r="G22" s="1">
        <f>SUMIFS(depense[montant],depense[Caegorie],$B22,depense[mois],5)</f>
        <v>0</v>
      </c>
      <c r="H22" s="1">
        <f>SUMIFS(depense[montant],depense[Caegorie],$B22,depense[mois],6)</f>
        <v>0</v>
      </c>
      <c r="I22" s="1">
        <f>SUMIFS(depense[montant],depense[Caegorie],$B22,depense[mois],7)</f>
        <v>50</v>
      </c>
      <c r="J22" s="1">
        <f>SUMIFS(depense[montant],depense[Caegorie],$B22,depense[mois],8)</f>
        <v>0</v>
      </c>
      <c r="K22" s="1">
        <f>SUMIFS(depense[montant],depense[Caegorie],$B22,depense[mois],9)</f>
        <v>0</v>
      </c>
      <c r="L22" s="1">
        <f>SUMIFS(depense[montant],depense[Caegorie],$B22,depense[mois],10)</f>
        <v>0</v>
      </c>
      <c r="M22" s="1">
        <f>SUMIFS(depense[montant],depense[Caegorie],$B22,depense[mois],11)</f>
        <v>0</v>
      </c>
      <c r="N22" s="1">
        <f>SUMIFS(depense[montant],depense[Caegorie],$B22,depense[mois],12)</f>
        <v>0</v>
      </c>
      <c r="O22" s="1">
        <f>SUM(maison[[#This Row],[Colonne2]:[Colonne13]])</f>
        <v>210</v>
      </c>
    </row>
    <row r="23" spans="2:15" ht="18.5" x14ac:dyDescent="0.45">
      <c r="B23" s="1" t="s">
        <v>44</v>
      </c>
      <c r="C23" s="1">
        <f>SUMIFS(depense[montant],depense[Caegorie],$B23,depense[mois],1)</f>
        <v>400</v>
      </c>
      <c r="D23" s="1">
        <f>SUMIFS(depense[montant],depense[Caegorie],$B23,depense[mois],2)</f>
        <v>0</v>
      </c>
      <c r="E23" s="1">
        <f>SUMIFS(depense[montant],depense[Caegorie],$B23,depense[mois],3)</f>
        <v>200</v>
      </c>
      <c r="F23" s="1">
        <f>SUMIFS(depense[montant],depense[Caegorie],$B23,depense[mois],4)</f>
        <v>0</v>
      </c>
      <c r="G23" s="1">
        <f>SUMIFS(depense[montant],depense[Caegorie],$B23,depense[mois],5)</f>
        <v>0</v>
      </c>
      <c r="H23" s="1">
        <f>SUMIFS(depense[montant],depense[Caegorie],$B23,depense[mois],6)</f>
        <v>0</v>
      </c>
      <c r="I23" s="1">
        <f>SUMIFS(depense[montant],depense[Caegorie],$B23,depense[mois],7)</f>
        <v>400</v>
      </c>
      <c r="J23" s="1">
        <f>SUMIFS(depense[montant],depense[Caegorie],$B23,depense[mois],8)</f>
        <v>0</v>
      </c>
      <c r="K23" s="1">
        <f>SUMIFS(depense[montant],depense[Caegorie],$B23,depense[mois],9)</f>
        <v>100</v>
      </c>
      <c r="L23" s="1">
        <f>SUMIFS(depense[montant],depense[Caegorie],$B23,depense[mois],10)</f>
        <v>0</v>
      </c>
      <c r="M23" s="1">
        <f>SUMIFS(depense[montant],depense[Caegorie],$B23,depense[mois],11)</f>
        <v>0</v>
      </c>
      <c r="N23" s="1">
        <f>SUMIFS(depense[montant],depense[Caegorie],$B23,depense[mois],12)</f>
        <v>0</v>
      </c>
      <c r="O23" s="1">
        <f>SUM(maison[[#This Row],[Colonne2]:[Colonne13]])</f>
        <v>1100</v>
      </c>
    </row>
    <row r="24" spans="2:15" ht="18.5" x14ac:dyDescent="0.45">
      <c r="B24" s="42" t="s">
        <v>21</v>
      </c>
      <c r="C24" s="42"/>
      <c r="D24" s="42"/>
      <c r="E24" s="42"/>
      <c r="F24" s="42"/>
      <c r="G24" s="42"/>
      <c r="H24" s="42"/>
      <c r="I24" s="42"/>
      <c r="J24" s="42"/>
      <c r="K24" s="42"/>
      <c r="L24" s="42"/>
      <c r="M24" s="42"/>
      <c r="N24" s="42"/>
      <c r="O24" s="42"/>
    </row>
    <row r="25" spans="2:15" ht="18.5" x14ac:dyDescent="0.45">
      <c r="B25" s="1" t="s">
        <v>56</v>
      </c>
      <c r="C25" s="1">
        <f>SUMIFS(depense[montant],depense[Caegorie],$B25,depense[mois],1)</f>
        <v>270</v>
      </c>
      <c r="D25" s="1">
        <f>SUMIFS(depense[montant],depense[Caegorie],$B25,depense[mois],2)</f>
        <v>0</v>
      </c>
      <c r="E25" s="1">
        <f>SUMIFS(depense[montant],depense[Caegorie],$B25,depense[mois],3)</f>
        <v>400</v>
      </c>
      <c r="F25" s="1">
        <f>SUMIFS(depense[montant],depense[Caegorie],$B25,depense[mois],4)</f>
        <v>0</v>
      </c>
      <c r="G25" s="1">
        <f>SUMIFS(depense[montant],depense[Caegorie],$B25,depense[mois],5)</f>
        <v>0</v>
      </c>
      <c r="H25" s="1">
        <f>SUMIFS(depense[montant],depense[Caegorie],$B25,depense[mois],6)</f>
        <v>0</v>
      </c>
      <c r="I25" s="1">
        <f>SUMIFS(depense[montant],depense[Caegorie],$B25,depense[mois],7)</f>
        <v>0</v>
      </c>
      <c r="J25" s="1">
        <f>SUMIFS(depense[montant],depense[Caegorie],$B25,depense[mois],8)</f>
        <v>0</v>
      </c>
      <c r="K25" s="1">
        <f>SUMIFS(depense[montant],depense[Caegorie],$B25,depense[mois],9)</f>
        <v>0</v>
      </c>
      <c r="L25" s="1">
        <f>SUMIFS(depense[montant],depense[Caegorie],$B25,depense[mois],10)</f>
        <v>0</v>
      </c>
      <c r="M25" s="1">
        <f>SUMIFS(depense[montant],depense[Caegorie],$B25,depense[mois],11)</f>
        <v>0</v>
      </c>
      <c r="N25" s="1">
        <f>SUMIFS(depense[montant],depense[Caegorie],$B25,depense[mois],12)</f>
        <v>0</v>
      </c>
      <c r="O25" s="1">
        <f>SUM(nourriture[[#This Row],[Colonne2]:[Colonne13]])</f>
        <v>670</v>
      </c>
    </row>
    <row r="26" spans="2:15" ht="18.5" x14ac:dyDescent="0.45">
      <c r="B26" s="1" t="s">
        <v>55</v>
      </c>
      <c r="C26" s="1">
        <f>SUMIFS(depense[montant],depense[Caegorie],$B26,depense[mois],1)</f>
        <v>200</v>
      </c>
      <c r="D26" s="1">
        <f>SUMIFS(depense[montant],depense[Caegorie],$B26,depense[mois],2)</f>
        <v>0</v>
      </c>
      <c r="E26" s="1">
        <f>SUMIFS(depense[montant],depense[Caegorie],$B26,depense[mois],3)</f>
        <v>100</v>
      </c>
      <c r="F26" s="1">
        <f>SUMIFS(depense[montant],depense[Caegorie],$B26,depense[mois],4)</f>
        <v>0</v>
      </c>
      <c r="G26" s="1">
        <f>SUMIFS(depense[montant],depense[Caegorie],$B26,depense[mois],5)</f>
        <v>0</v>
      </c>
      <c r="H26" s="1">
        <f>SUMIFS(depense[montant],depense[Caegorie],$B26,depense[mois],6)</f>
        <v>0</v>
      </c>
      <c r="I26" s="1">
        <f>SUMIFS(depense[montant],depense[Caegorie],$B26,depense[mois],7)</f>
        <v>0</v>
      </c>
      <c r="J26" s="1">
        <f>SUMIFS(depense[montant],depense[Caegorie],$B26,depense[mois],8)</f>
        <v>0</v>
      </c>
      <c r="K26" s="1">
        <f>SUMIFS(depense[montant],depense[Caegorie],$B26,depense[mois],9)</f>
        <v>0</v>
      </c>
      <c r="L26" s="1">
        <f>SUMIFS(depense[montant],depense[Caegorie],$B26,depense[mois],10)</f>
        <v>0</v>
      </c>
      <c r="M26" s="1">
        <f>SUMIFS(depense[montant],depense[Caegorie],$B26,depense[mois],11)</f>
        <v>0</v>
      </c>
      <c r="N26" s="1">
        <f>SUMIFS(depense[montant],depense[Caegorie],$B26,depense[mois],12)</f>
        <v>0</v>
      </c>
      <c r="O26" s="1">
        <f>SUM(nourriture[[#This Row],[Colonne2]:[Colonne13]])</f>
        <v>300</v>
      </c>
    </row>
    <row r="27" spans="2:15" ht="18.5" x14ac:dyDescent="0.45">
      <c r="B27" s="42" t="s">
        <v>22</v>
      </c>
      <c r="C27" s="42"/>
      <c r="D27" s="42"/>
      <c r="E27" s="42"/>
      <c r="F27" s="42"/>
      <c r="G27" s="42"/>
      <c r="H27" s="42"/>
      <c r="I27" s="42"/>
      <c r="J27" s="42"/>
      <c r="K27" s="42"/>
      <c r="L27" s="42"/>
      <c r="M27" s="42"/>
      <c r="N27" s="42"/>
      <c r="O27" s="42"/>
    </row>
    <row r="28" spans="2:15" ht="18.5" x14ac:dyDescent="0.45">
      <c r="B28" s="1" t="s">
        <v>27</v>
      </c>
      <c r="C28" s="1">
        <f>SUMIFS(depense[montant],depense[Caegorie],$B28,depense[mois],1)</f>
        <v>0</v>
      </c>
      <c r="D28" s="1">
        <f>SUMIFS(depense[montant],depense[Caegorie],$B28,depense[mois],2)</f>
        <v>0</v>
      </c>
      <c r="E28" s="1">
        <f>SUMIFS(depense[montant],depense[Caegorie],$B28,depense[mois],3)</f>
        <v>300</v>
      </c>
      <c r="F28" s="1">
        <f>SUMIFS(depense[montant],depense[Caegorie],$B28,depense[mois],4)</f>
        <v>0</v>
      </c>
      <c r="G28" s="1">
        <f>SUMIFS(depense[montant],depense[Caegorie],$B28,depense[mois],5)</f>
        <v>0</v>
      </c>
      <c r="H28" s="1">
        <f>SUMIFS(depense[montant],depense[Caegorie],$B28,depense[mois],6)</f>
        <v>0</v>
      </c>
      <c r="I28" s="1">
        <f>SUMIFS(depense[montant],depense[Caegorie],$B28,depense[mois],7)</f>
        <v>0</v>
      </c>
      <c r="J28" s="1">
        <f>SUMIFS(depense[montant],depense[Caegorie],$B28,depense[mois],8)</f>
        <v>0</v>
      </c>
      <c r="K28" s="1">
        <f>SUMIFS(depense[montant],depense[Caegorie],$B28,depense[mois],9)</f>
        <v>0</v>
      </c>
      <c r="L28" s="1">
        <f>SUMIFS(depense[montant],depense[Caegorie],$B28,depense[mois],10)</f>
        <v>0</v>
      </c>
      <c r="M28" s="1">
        <f>SUMIFS(depense[montant],depense[Caegorie],$B28,depense[mois],11)</f>
        <v>0</v>
      </c>
      <c r="N28" s="1">
        <f>SUMIFS(depense[montant],depense[Caegorie],$B28,depense[mois],12)</f>
        <v>0</v>
      </c>
      <c r="O28" s="1">
        <f>SUM(transport[[#This Row],[Colonne2]:[Colonne13]])</f>
        <v>300</v>
      </c>
    </row>
    <row r="29" spans="2:15" ht="18.5" x14ac:dyDescent="0.45">
      <c r="B29" s="1" t="s">
        <v>28</v>
      </c>
      <c r="C29" s="1">
        <f>SUMIFS(depense[montant],depense[Caegorie],$B29,depense[mois],1)</f>
        <v>50</v>
      </c>
      <c r="D29" s="1">
        <f>SUMIFS(depense[montant],depense[Caegorie],$B29,depense[mois],2)</f>
        <v>0</v>
      </c>
      <c r="E29" s="1">
        <f>SUMIFS(depense[montant],depense[Caegorie],$B29,depense[mois],3)</f>
        <v>150</v>
      </c>
      <c r="F29" s="1">
        <f>SUMIFS(depense[montant],depense[Caegorie],$B29,depense[mois],4)</f>
        <v>0</v>
      </c>
      <c r="G29" s="1">
        <f>SUMIFS(depense[montant],depense[Caegorie],$B29,depense[mois],5)</f>
        <v>0</v>
      </c>
      <c r="H29" s="1">
        <f>SUMIFS(depense[montant],depense[Caegorie],$B29,depense[mois],6)</f>
        <v>0</v>
      </c>
      <c r="I29" s="1">
        <f>SUMIFS(depense[montant],depense[Caegorie],$B29,depense[mois],7)</f>
        <v>100</v>
      </c>
      <c r="J29" s="1">
        <f>SUMIFS(depense[montant],depense[Caegorie],$B29,depense[mois],8)</f>
        <v>0</v>
      </c>
      <c r="K29" s="1">
        <f>SUMIFS(depense[montant],depense[Caegorie],$B29,depense[mois],9)</f>
        <v>0</v>
      </c>
      <c r="L29" s="1">
        <f>SUMIFS(depense[montant],depense[Caegorie],$B29,depense[mois],10)</f>
        <v>0</v>
      </c>
      <c r="M29" s="1">
        <f>SUMIFS(depense[montant],depense[Caegorie],$B29,depense[mois],11)</f>
        <v>0</v>
      </c>
      <c r="N29" s="1">
        <f>SUMIFS(depense[montant],depense[Caegorie],$B29,depense[mois],12)</f>
        <v>0</v>
      </c>
      <c r="O29" s="1">
        <f>SUM(transport[[#This Row],[Colonne2]:[Colonne13]])</f>
        <v>300</v>
      </c>
    </row>
    <row r="30" spans="2:15" ht="18.5" x14ac:dyDescent="0.45">
      <c r="B30" s="1" t="s">
        <v>29</v>
      </c>
      <c r="C30" s="1">
        <f>SUMIFS(depense[montant],depense[Caegorie],$B30,depense[mois],1)</f>
        <v>300</v>
      </c>
      <c r="D30" s="1">
        <f>SUMIFS(depense[montant],depense[Caegorie],$B30,depense[mois],2)</f>
        <v>0</v>
      </c>
      <c r="E30" s="1">
        <f>SUMIFS(depense[montant],depense[Caegorie],$B30,depense[mois],3)</f>
        <v>250</v>
      </c>
      <c r="F30" s="1">
        <f>SUMIFS(depense[montant],depense[Caegorie],$B30,depense[mois],4)</f>
        <v>0</v>
      </c>
      <c r="G30" s="1">
        <f>SUMIFS(depense[montant],depense[Caegorie],$B30,depense[mois],5)</f>
        <v>0</v>
      </c>
      <c r="H30" s="1">
        <f>SUMIFS(depense[montant],depense[Caegorie],$B30,depense[mois],6)</f>
        <v>0</v>
      </c>
      <c r="I30" s="1">
        <f>SUMIFS(depense[montant],depense[Caegorie],$B30,depense[mois],7)</f>
        <v>0</v>
      </c>
      <c r="J30" s="1">
        <f>SUMIFS(depense[montant],depense[Caegorie],$B30,depense[mois],8)</f>
        <v>0</v>
      </c>
      <c r="K30" s="1">
        <f>SUMIFS(depense[montant],depense[Caegorie],$B30,depense[mois],9)</f>
        <v>0</v>
      </c>
      <c r="L30" s="1">
        <f>SUMIFS(depense[montant],depense[Caegorie],$B30,depense[mois],10)</f>
        <v>0</v>
      </c>
      <c r="M30" s="1">
        <f>SUMIFS(depense[montant],depense[Caegorie],$B30,depense[mois],11)</f>
        <v>0</v>
      </c>
      <c r="N30" s="1">
        <f>SUMIFS(depense[montant],depense[Caegorie],$B30,depense[mois],12)</f>
        <v>0</v>
      </c>
      <c r="O30" s="1">
        <f>SUM(transport[[#This Row],[Colonne2]:[Colonne13]])</f>
        <v>550</v>
      </c>
    </row>
    <row r="31" spans="2:15" ht="19" thickBot="1" x14ac:dyDescent="0.5">
      <c r="B31" s="15" t="s">
        <v>51</v>
      </c>
      <c r="C31" s="1">
        <f>SUMIFS(depense[montant],depense[Caegorie],$B31,depense[mois],1)</f>
        <v>0</v>
      </c>
      <c r="D31" s="1">
        <f>SUMIFS(depense[montant],depense[Caegorie],$B31,depense[mois],2)</f>
        <v>0</v>
      </c>
      <c r="E31" s="1">
        <f>SUMIFS(depense[montant],depense[Caegorie],$B31,depense[mois],3)</f>
        <v>0</v>
      </c>
      <c r="F31" s="1">
        <f>SUMIFS(depense[montant],depense[Caegorie],$B31,depense[mois],4)</f>
        <v>0</v>
      </c>
      <c r="G31" s="1">
        <f>SUMIFS(depense[montant],depense[Caegorie],$B31,depense[mois],5)</f>
        <v>0</v>
      </c>
      <c r="H31" s="1">
        <f>SUMIFS(depense[montant],depense[Caegorie],$B31,depense[mois],6)</f>
        <v>0</v>
      </c>
      <c r="I31" s="1">
        <f>SUMIFS(depense[montant],depense[Caegorie],$B31,depense[mois],7)</f>
        <v>2</v>
      </c>
      <c r="J31" s="1">
        <f>SUMIFS(depense[montant],depense[Caegorie],$B31,depense[mois],8)</f>
        <v>0</v>
      </c>
      <c r="K31" s="1">
        <f>SUMIFS(depense[montant],depense[Caegorie],$B31,depense[mois],9)</f>
        <v>0</v>
      </c>
      <c r="L31" s="1">
        <f>SUMIFS(depense[montant],depense[Caegorie],$B31,depense[mois],10)</f>
        <v>0</v>
      </c>
      <c r="M31" s="1">
        <f>SUMIFS(depense[montant],depense[Caegorie],$B31,depense[mois],11)</f>
        <v>0</v>
      </c>
      <c r="N31" s="1">
        <f>SUMIFS(depense[montant],depense[Caegorie],$B31,depense[mois],12)</f>
        <v>0</v>
      </c>
      <c r="O31" s="1">
        <f>SUM(transport[[#This Row],[Colonne2]:[Colonne13]])</f>
        <v>2</v>
      </c>
    </row>
    <row r="32" spans="2:15" ht="22" thickTop="1" thickBot="1" x14ac:dyDescent="0.55000000000000004">
      <c r="B32" s="7" t="s">
        <v>24</v>
      </c>
      <c r="C32" s="5">
        <f>SUM(maison[[#All],[Colonne2]],nourriture[[#All],[Colonne2]],transport[[#All],[Colonne2]])</f>
        <v>4920</v>
      </c>
      <c r="D32" s="5">
        <f>SUM(maison[[#All],[Colonne3]],nourriture[[#All],[Colonne3]],transport[[#All],[Colonne3]])</f>
        <v>3403</v>
      </c>
      <c r="E32" s="5">
        <f>SUM(maison[[#All],[Colonne4]],nourriture[[#All],[Colonne4]],transport[[#All],[Colonne4]])</f>
        <v>4810</v>
      </c>
      <c r="F32" s="5">
        <f>SUM(maison[[#All],[Colonne5]],nourriture[[#All],[Colonne5]],transport[[#All],[Colonne5]])</f>
        <v>3000</v>
      </c>
      <c r="G32" s="5">
        <f>SUM(maison[[#All],[Colonne6]],nourriture[[#All],[Colonne6]],transport[[#All],[Colonne6]])</f>
        <v>3500</v>
      </c>
      <c r="H32" s="5">
        <f>SUM(maison[[#All],[Colonne7]],nourriture[[#All],[Colonne7]],transport[[#All],[Colonne7]])</f>
        <v>3500</v>
      </c>
      <c r="I32" s="5">
        <f>SUM(maison[[#All],[Colonne8]],nourriture[[#All],[Colonne8]],transport[[#All],[Colonne8]])</f>
        <v>1772</v>
      </c>
      <c r="J32" s="5">
        <f>SUM(maison[[#All],[Colonne9]],nourriture[[#All],[Colonne9]],transport[[#All],[Colonne9]])</f>
        <v>3000</v>
      </c>
      <c r="K32" s="5">
        <f>SUM(maison[[#All],[Colonne10]],nourriture[[#All],[Colonne10]],transport[[#All],[Colonne10]])</f>
        <v>3900</v>
      </c>
      <c r="L32" s="5">
        <f>SUM(maison[[#All],[Colonne11]],nourriture[[#All],[Colonne11]],transport[[#All],[Colonne11]])</f>
        <v>4000</v>
      </c>
      <c r="M32" s="5">
        <f>SUM(maison[[#All],[Colonne12]],nourriture[[#All],[Colonne12]],transport[[#All],[Colonne12]])</f>
        <v>4000</v>
      </c>
      <c r="N32" s="5">
        <f>SUM(maison[[#All],[Colonne13]],nourriture[[#All],[Colonne13]],transport[[#All],[Colonne13]])</f>
        <v>5000</v>
      </c>
      <c r="O32" s="6">
        <f>SUM(maison[[#All],[Colonne14]],nourriture[[#All],[Colonne14]],transport[[#All],[Colonne14]])</f>
        <v>44805</v>
      </c>
    </row>
    <row r="33" spans="2:15" ht="19.5" thickTop="1" thickBot="1" x14ac:dyDescent="0.5">
      <c r="B33" s="1"/>
      <c r="C33" s="1"/>
      <c r="D33" s="1"/>
      <c r="E33" s="1"/>
      <c r="F33" s="1"/>
      <c r="G33" s="1"/>
      <c r="H33" s="1"/>
      <c r="I33" s="1"/>
      <c r="J33" s="1"/>
      <c r="K33" s="1"/>
      <c r="L33" s="1"/>
      <c r="M33" s="1"/>
      <c r="N33" s="1"/>
      <c r="O33" s="1"/>
    </row>
    <row r="34" spans="2:15" ht="19.5" thickTop="1" thickBot="1" x14ac:dyDescent="0.4">
      <c r="B34" s="10" t="s">
        <v>30</v>
      </c>
      <c r="C34" s="9">
        <f>revenue[[#Totals],[Janv.]]-C32</f>
        <v>9680</v>
      </c>
      <c r="D34" s="9">
        <f>revenue[[#Totals],[Fev.]]-D32</f>
        <v>19091</v>
      </c>
      <c r="E34" s="9">
        <f>revenue[[#Totals],[Mars.]]-E32</f>
        <v>7890</v>
      </c>
      <c r="F34" s="9">
        <f>revenue[[#Totals],[Avril]]-F32</f>
        <v>7650</v>
      </c>
      <c r="G34" s="9">
        <f>revenue[[#Totals],[Mai]]-G32</f>
        <v>-3400</v>
      </c>
      <c r="H34" s="9">
        <f>revenue[[#Totals],[Juin]]-H32</f>
        <v>-2260</v>
      </c>
      <c r="I34" s="9">
        <f>revenue[[#Totals],[Juillet]]-I32</f>
        <v>35495</v>
      </c>
      <c r="J34" s="9">
        <f>revenue[[#Totals],[Aout]]-J32</f>
        <v>-2000</v>
      </c>
      <c r="K34" s="9">
        <f>revenue[[#Totals],[Sept.]]-K32</f>
        <v>9100</v>
      </c>
      <c r="L34" s="9">
        <f>revenue[[#Totals],[Oct.]]-L32</f>
        <v>-60</v>
      </c>
      <c r="M34" s="9">
        <f>revenue[[#Totals],[Nov.]]-M32</f>
        <v>19000</v>
      </c>
      <c r="N34" s="9">
        <f>revenue[[#Totals],[Dec]]-N32</f>
        <v>9000</v>
      </c>
      <c r="O34" s="11">
        <f>revenue[[#Totals],[Year to Date]]-O32</f>
        <v>109186</v>
      </c>
    </row>
    <row r="35" spans="2:15" ht="15" thickTop="1" x14ac:dyDescent="0.35"/>
    <row r="38" spans="2:15" x14ac:dyDescent="0.35">
      <c r="F38" s="90" t="s">
        <v>190</v>
      </c>
      <c r="G38" s="90"/>
      <c r="H38" s="90"/>
      <c r="I38" s="90"/>
      <c r="J38" s="90"/>
      <c r="K38" s="90"/>
    </row>
    <row r="39" spans="2:15" x14ac:dyDescent="0.35">
      <c r="F39" s="90"/>
      <c r="G39" s="90"/>
      <c r="H39" s="90"/>
      <c r="I39" s="90"/>
      <c r="J39" s="90"/>
      <c r="K39" s="90"/>
    </row>
    <row r="42" spans="2:15" x14ac:dyDescent="0.35">
      <c r="C42" s="85"/>
    </row>
    <row r="43" spans="2:15" ht="39" customHeight="1" x14ac:dyDescent="0.35">
      <c r="B43" s="85"/>
      <c r="C43" s="73" t="s">
        <v>178</v>
      </c>
      <c r="D43" s="73"/>
      <c r="E43" s="72" t="s">
        <v>1</v>
      </c>
      <c r="F43" s="72" t="s">
        <v>158</v>
      </c>
      <c r="G43" s="72" t="s">
        <v>159</v>
      </c>
      <c r="H43" s="72" t="s">
        <v>99</v>
      </c>
      <c r="I43" s="72" t="s">
        <v>39</v>
      </c>
      <c r="J43" s="72" t="s">
        <v>88</v>
      </c>
      <c r="K43" s="72" t="s">
        <v>160</v>
      </c>
      <c r="L43" s="72" t="s">
        <v>37</v>
      </c>
      <c r="M43" s="72" t="s">
        <v>161</v>
      </c>
      <c r="N43" s="72" t="s">
        <v>162</v>
      </c>
    </row>
    <row r="44" spans="2:15" ht="18.5" x14ac:dyDescent="0.45">
      <c r="B44" s="85"/>
      <c r="C44" s="73" t="s">
        <v>176</v>
      </c>
      <c r="D44" s="73"/>
      <c r="E44" s="86"/>
      <c r="F44" s="83"/>
      <c r="G44" s="84"/>
      <c r="H44" s="87"/>
      <c r="I44" s="84"/>
      <c r="J44" s="84"/>
      <c r="K44" s="87"/>
      <c r="L44" s="85"/>
      <c r="N44" s="97"/>
    </row>
    <row r="45" spans="2:15" ht="32" customHeight="1" x14ac:dyDescent="0.35">
      <c r="C45" s="93">
        <v>1</v>
      </c>
      <c r="D45" s="92" t="s">
        <v>177</v>
      </c>
      <c r="E45">
        <f>GETPIVOTDATA("[Measures].[TotalRevenue]",charts!$A$150,"[Date].[Date (Month)]","[Date].[Date (Month)].&amp;[janv]")</f>
        <v>14600</v>
      </c>
      <c r="F45">
        <f>GETPIVOTDATA("[Measures].[10% du Revenu]",charts!$A$150,"[Date].[Date (Month)]","[Date].[Date (Month)].&amp;[janv]")</f>
        <v>1460</v>
      </c>
      <c r="G45">
        <f>GETPIVOTDATA("[Measures].[20% du Revenu]",charts!$A$150,"[Date].[Date (Month)]","[Date].[Date (Month)].&amp;[janv]")</f>
        <v>2920</v>
      </c>
      <c r="H45">
        <f>GETPIVOTDATA("[Measures].[TotalDepense]",charts!$A$150,"[Date].[Date (Month)]","[Date].[Date (Month)].&amp;[janv]")</f>
        <v>4920</v>
      </c>
      <c r="I45">
        <f>GETPIVOTDATA("[Measures].[reste]",charts!$A$150,"[Date].[Date (Month)]","[Date].[Date (Month)].&amp;[janv]")</f>
        <v>9680</v>
      </c>
      <c r="J45">
        <f>GETPIVOTDATA("[Measures].[Epargne]",charts!$A$150,"[Date].[Date (Month)]","[Date].[Date (Month)].&amp;[janv]")</f>
        <v>1460</v>
      </c>
      <c r="K45">
        <f>GETPIVOTDATA("[Measures].[Reste Depensable]",charts!$A$150,"[Date].[Date (Month)]","[Date].[Date (Month)].&amp;[janv]")</f>
        <v>8220</v>
      </c>
      <c r="L45">
        <f>GETPIVOTDATA("[Measures].[dime]",charts!$A$150,"[Date].[Date (Month)]","[Date].[Date (Month)].&amp;[janv]")</f>
        <v>730</v>
      </c>
      <c r="M45">
        <f>K45-N45</f>
        <v>8070</v>
      </c>
      <c r="N45" s="97">
        <v>150</v>
      </c>
    </row>
    <row r="46" spans="2:15" ht="32" customHeight="1" x14ac:dyDescent="0.45">
      <c r="B46" s="86"/>
      <c r="C46" s="93">
        <v>2</v>
      </c>
      <c r="D46" s="92" t="s">
        <v>179</v>
      </c>
      <c r="E46">
        <f>GETPIVOTDATA("[Measures].[TotalRevenue]",charts!$A$150,"[Date].[Date (Month)]","[Date].[Date (Month)].&amp;[févr]")</f>
        <v>22494</v>
      </c>
      <c r="F46">
        <f>E46*0.1</f>
        <v>2249.4</v>
      </c>
      <c r="G46">
        <f>E46*0.2</f>
        <v>4498.8</v>
      </c>
      <c r="H46">
        <f>GETPIVOTDATA("[Measures].[TotalDepense]",charts!$A$150,"[Date].[Date (Month)]","[Date].[Date (Month)].&amp;[févr]")</f>
        <v>3403</v>
      </c>
      <c r="I46">
        <f>E46-H46</f>
        <v>19091</v>
      </c>
      <c r="J46">
        <f>GETPIVOTDATA("[Measures].[Epargne]",charts!$A$150,"[Date].[Date (Month)]","[Date].[Date (Month)].&amp;[févr]")</f>
        <v>2249.4</v>
      </c>
      <c r="K46">
        <f>I46-J46</f>
        <v>16841.599999999999</v>
      </c>
      <c r="L46">
        <f>GETPIVOTDATA("[Measures].[dime]",charts!$A$150,"[Date].[Date (Month)]","[Date].[Date (Month)].&amp;[févr]")</f>
        <v>1124.7</v>
      </c>
      <c r="M46">
        <f t="shared" ref="M46:M57" si="0">K46-N46</f>
        <v>16741.599999999999</v>
      </c>
      <c r="N46" s="97">
        <v>100</v>
      </c>
    </row>
    <row r="47" spans="2:15" ht="32" customHeight="1" x14ac:dyDescent="0.45">
      <c r="B47" s="86"/>
      <c r="C47" s="93">
        <v>3</v>
      </c>
      <c r="D47" s="92" t="s">
        <v>180</v>
      </c>
      <c r="E47">
        <f>GETPIVOTDATA("[Measures].[TotalRevenue]",charts!$A$150,"[Date].[Date (Month)]","[Date].[Date (Month)].&amp;[mars]")</f>
        <v>12700</v>
      </c>
      <c r="F47">
        <f t="shared" ref="F47:F56" si="1">E47*0.1</f>
        <v>1270</v>
      </c>
      <c r="G47">
        <f t="shared" ref="G47:G56" si="2">E47*0.2</f>
        <v>2540</v>
      </c>
      <c r="H47">
        <f>GETPIVOTDATA("[Measures].[TotalDepense]",charts!$A$150,"[Date].[Date (Month)]","[Date].[Date (Month)].&amp;[mars]")</f>
        <v>4810</v>
      </c>
      <c r="I47">
        <f t="shared" ref="I47:I56" si="3">E47-H47</f>
        <v>7890</v>
      </c>
      <c r="J47">
        <f>GETPIVOTDATA("[Measures].[Epargne]",charts!$A$150,"[Date].[Date (Month)]","[Date].[Date (Month)].&amp;[mars]")</f>
        <v>1270</v>
      </c>
      <c r="K47">
        <f t="shared" ref="K47:K56" si="4">I47-J47</f>
        <v>6620</v>
      </c>
      <c r="L47">
        <f>GETPIVOTDATA("[Measures].[dime]",charts!$A$150,"[Date].[Date (Month)]","[Date].[Date (Month)].&amp;[mars]")</f>
        <v>635</v>
      </c>
      <c r="M47">
        <f t="shared" si="0"/>
        <v>6367</v>
      </c>
      <c r="N47" s="97">
        <v>253</v>
      </c>
    </row>
    <row r="48" spans="2:15" ht="32" customHeight="1" x14ac:dyDescent="0.45">
      <c r="B48" s="86"/>
      <c r="C48" s="93">
        <v>4</v>
      </c>
      <c r="D48" s="92" t="s">
        <v>181</v>
      </c>
      <c r="E48">
        <f>GETPIVOTDATA("[Measures].[TotalRevenue]",charts!$A$150,"[Date].[Date (Month)]","[Date].[Date (Month)].&amp;[avr]")</f>
        <v>10650</v>
      </c>
      <c r="F48">
        <f t="shared" si="1"/>
        <v>1065</v>
      </c>
      <c r="G48">
        <f t="shared" si="2"/>
        <v>2130</v>
      </c>
      <c r="H48">
        <f>GETPIVOTDATA("[Measures].[TotalDepense]",charts!$A$150,"[Date].[Date (Month)]","[Date].[Date (Month)].&amp;[avr]")</f>
        <v>3000</v>
      </c>
      <c r="I48">
        <f t="shared" si="3"/>
        <v>7650</v>
      </c>
      <c r="J48">
        <f>GETPIVOTDATA("[Measures].[Epargne]",charts!$A$150,"[Date].[Date (Month)]","[Date].[Date (Month)].&amp;[avr]")</f>
        <v>1065</v>
      </c>
      <c r="K48">
        <f t="shared" si="4"/>
        <v>6585</v>
      </c>
      <c r="L48">
        <f>GETPIVOTDATA("[Measures].[dime]",charts!$A$150,"[Date].[Date (Month)]","[Date].[Date (Month)].&amp;[avr]")</f>
        <v>532.5</v>
      </c>
      <c r="M48">
        <f t="shared" si="0"/>
        <v>6485</v>
      </c>
      <c r="N48" s="97">
        <v>100</v>
      </c>
    </row>
    <row r="49" spans="2:14" ht="32" customHeight="1" x14ac:dyDescent="0.45">
      <c r="B49" s="86"/>
      <c r="C49" s="93">
        <v>5</v>
      </c>
      <c r="D49" s="92" t="s">
        <v>182</v>
      </c>
      <c r="E49">
        <f>GETPIVOTDATA("[Measures].[TotalRevenue]",charts!$A$150,"[Date].[Date (Month)]","[Date].[Date (Month)].&amp;[mai]")</f>
        <v>100</v>
      </c>
      <c r="F49">
        <f t="shared" si="1"/>
        <v>10</v>
      </c>
      <c r="G49">
        <f t="shared" si="2"/>
        <v>20</v>
      </c>
      <c r="H49">
        <f>GETPIVOTDATA("[Measures].[TotalDepense]",charts!$A$150,"[Date].[Date (Month)]","[Date].[Date (Month)].&amp;[mai]")</f>
        <v>3500</v>
      </c>
      <c r="I49">
        <f t="shared" si="3"/>
        <v>-3400</v>
      </c>
      <c r="J49">
        <f>GETPIVOTDATA("[Measures].[Epargne]",charts!$A$150,"[Date].[Date (Month)]","[Date].[Date (Month)].&amp;[mai]")</f>
        <v>10</v>
      </c>
      <c r="K49">
        <f t="shared" si="4"/>
        <v>-3410</v>
      </c>
      <c r="L49">
        <f>GETPIVOTDATA("[Measures].[dime]",charts!$A$150,"[Date].[Date (Month)]","[Date].[Date (Month)].&amp;[mai]")</f>
        <v>5</v>
      </c>
      <c r="M49">
        <f t="shared" si="0"/>
        <v>-3435</v>
      </c>
      <c r="N49" s="97">
        <v>25</v>
      </c>
    </row>
    <row r="50" spans="2:14" ht="32" customHeight="1" x14ac:dyDescent="0.45">
      <c r="B50" s="86"/>
      <c r="C50" s="93">
        <v>6</v>
      </c>
      <c r="D50" s="92" t="s">
        <v>183</v>
      </c>
      <c r="E50">
        <f>GETPIVOTDATA("[Measures].[TotalRevenue]",charts!$A$150,"[Date].[Date (Month)]","[Date].[Date (Month)].&amp;[juin]")</f>
        <v>1240</v>
      </c>
      <c r="F50">
        <f t="shared" si="1"/>
        <v>124</v>
      </c>
      <c r="G50">
        <f t="shared" si="2"/>
        <v>248</v>
      </c>
      <c r="H50">
        <f>GETPIVOTDATA("[Measures].[TotalDepense]",charts!$A$150,"[Date].[Date (Month)]","[Date].[Date (Month)].&amp;[juin]")</f>
        <v>3500</v>
      </c>
      <c r="I50">
        <f t="shared" si="3"/>
        <v>-2260</v>
      </c>
      <c r="J50">
        <f>GETPIVOTDATA("[Measures].[Epargne]",charts!$A$150,"[Date].[Date (Month)]","[Date].[Date (Month)].&amp;[juin]")</f>
        <v>124</v>
      </c>
      <c r="K50">
        <f t="shared" si="4"/>
        <v>-2384</v>
      </c>
      <c r="L50">
        <f>GETPIVOTDATA("[Measures].[dime]",charts!$A$150,"[Date].[Date (Month)]","[Date].[Date (Month)].&amp;[juin]")</f>
        <v>62</v>
      </c>
      <c r="M50">
        <f t="shared" si="0"/>
        <v>-2484</v>
      </c>
      <c r="N50" s="97">
        <v>100</v>
      </c>
    </row>
    <row r="51" spans="2:14" ht="32" customHeight="1" x14ac:dyDescent="0.45">
      <c r="B51" s="86"/>
      <c r="C51" s="93">
        <v>7</v>
      </c>
      <c r="D51" s="92" t="s">
        <v>184</v>
      </c>
      <c r="E51">
        <f>GETPIVOTDATA("[Measures].[TotalRevenue]",charts!$A$150,"[Date].[Date (Month)]","[Date].[Date (Month)].&amp;[juil]")</f>
        <v>37267</v>
      </c>
      <c r="F51">
        <f t="shared" si="1"/>
        <v>3726.7000000000003</v>
      </c>
      <c r="G51">
        <f t="shared" si="2"/>
        <v>7453.4000000000005</v>
      </c>
      <c r="H51">
        <f>GETPIVOTDATA("[Measures].[TotalDepense]",charts!$A$150,"[Date].[Date (Month)]","[Date].[Date (Month)].&amp;[juil]")</f>
        <v>1772</v>
      </c>
      <c r="I51">
        <f t="shared" si="3"/>
        <v>35495</v>
      </c>
      <c r="J51">
        <f>GETPIVOTDATA("[Measures].[Epargne]",charts!$A$150,"[Date].[Date (Month)]","[Date].[Date (Month)].&amp;[juil]")</f>
        <v>3726.7</v>
      </c>
      <c r="K51">
        <f t="shared" si="4"/>
        <v>31768.3</v>
      </c>
      <c r="L51">
        <f>GETPIVOTDATA("[Measures].[dime]",charts!$A$150,"[Date].[Date (Month)]","[Date].[Date (Month)].&amp;[juil]")</f>
        <v>1863.35</v>
      </c>
      <c r="M51">
        <f t="shared" si="0"/>
        <v>31668.3</v>
      </c>
      <c r="N51" s="97">
        <v>100</v>
      </c>
    </row>
    <row r="52" spans="2:14" ht="32" customHeight="1" x14ac:dyDescent="0.45">
      <c r="B52" s="86"/>
      <c r="C52" s="93">
        <v>8</v>
      </c>
      <c r="D52" s="92" t="s">
        <v>185</v>
      </c>
      <c r="E52">
        <f>GETPIVOTDATA("[Measures].[TotalRevenue]",charts!$A$150,"[Date].[Date (Month)]","[Date].[Date (Month)].&amp;[août]")</f>
        <v>1000</v>
      </c>
      <c r="F52">
        <f t="shared" si="1"/>
        <v>100</v>
      </c>
      <c r="G52">
        <f t="shared" si="2"/>
        <v>200</v>
      </c>
      <c r="H52">
        <f>GETPIVOTDATA("[Measures].[TotalDepense]",charts!$A$150,"[Date].[Date (Month)]","[Date].[Date (Month)].&amp;[août]")</f>
        <v>3000</v>
      </c>
      <c r="I52">
        <f t="shared" si="3"/>
        <v>-2000</v>
      </c>
      <c r="J52">
        <f>GETPIVOTDATA("[Measures].[Epargne]",charts!$A$150,"[Date].[Date (Month)]","[Date].[Date (Month)].&amp;[août]")</f>
        <v>100</v>
      </c>
      <c r="K52">
        <f t="shared" si="4"/>
        <v>-2100</v>
      </c>
      <c r="L52">
        <f>GETPIVOTDATA("[Measures].[dime]",charts!$A$150,"[Date].[Date (Month)]","[Date].[Date (Month)].&amp;[août]")</f>
        <v>50</v>
      </c>
      <c r="M52">
        <f t="shared" si="0"/>
        <v>-2280</v>
      </c>
      <c r="N52" s="97">
        <v>180</v>
      </c>
    </row>
    <row r="53" spans="2:14" ht="32" customHeight="1" x14ac:dyDescent="0.45">
      <c r="B53" s="86"/>
      <c r="C53" s="93">
        <v>9</v>
      </c>
      <c r="D53" s="92" t="s">
        <v>186</v>
      </c>
      <c r="E53">
        <f>GETPIVOTDATA("[Measures].[TotalRevenue]",charts!$A$150,"[Date].[Date (Month)]","[Date].[Date (Month)].&amp;[sept]")</f>
        <v>13000</v>
      </c>
      <c r="F53">
        <f t="shared" si="1"/>
        <v>1300</v>
      </c>
      <c r="G53">
        <f t="shared" si="2"/>
        <v>2600</v>
      </c>
      <c r="H53">
        <f>GETPIVOTDATA("[Measures].[TotalDepense]",charts!$A$150,"[Date].[Date (Month)]","[Date].[Date (Month)].&amp;[sept]")</f>
        <v>3900</v>
      </c>
      <c r="I53">
        <f t="shared" si="3"/>
        <v>9100</v>
      </c>
      <c r="J53">
        <f>GETPIVOTDATA("[Measures].[Epargne]",charts!$A$150,"[Date].[Date (Month)]","[Date].[Date (Month)].&amp;[sept]")</f>
        <v>1300</v>
      </c>
      <c r="K53">
        <f t="shared" si="4"/>
        <v>7800</v>
      </c>
      <c r="L53">
        <f>GETPIVOTDATA("[Measures].[dime]",charts!$A$150,"[Date].[Date (Month)]","[Date].[Date (Month)].&amp;[sept]")</f>
        <v>650</v>
      </c>
      <c r="M53">
        <f t="shared" si="0"/>
        <v>7700</v>
      </c>
      <c r="N53" s="97">
        <v>100</v>
      </c>
    </row>
    <row r="54" spans="2:14" ht="32" customHeight="1" x14ac:dyDescent="0.45">
      <c r="B54" s="86"/>
      <c r="C54" s="93">
        <v>10</v>
      </c>
      <c r="D54" s="92" t="s">
        <v>187</v>
      </c>
      <c r="E54">
        <f>GETPIVOTDATA("[Measures].[TotalRevenue]",charts!$A$150,"[Date].[Date (Month)]","[Date].[Date (Month)].&amp;[oct]")</f>
        <v>3940</v>
      </c>
      <c r="F54">
        <f t="shared" si="1"/>
        <v>394</v>
      </c>
      <c r="G54">
        <f t="shared" si="2"/>
        <v>788</v>
      </c>
      <c r="H54">
        <f>GETPIVOTDATA("[Measures].[TotalDepense]",charts!$A$150,"[Date].[Date (Month)]","[Date].[Date (Month)].&amp;[oct]")</f>
        <v>4000</v>
      </c>
      <c r="I54">
        <f t="shared" si="3"/>
        <v>-60</v>
      </c>
      <c r="J54">
        <f>GETPIVOTDATA("[Measures].[Epargne]",charts!$A$150,"[Date].[Date (Month)]","[Date].[Date (Month)].&amp;[oct]")</f>
        <v>394</v>
      </c>
      <c r="K54">
        <f t="shared" si="4"/>
        <v>-454</v>
      </c>
      <c r="L54">
        <f>GETPIVOTDATA("[Measures].[dime]",charts!$A$150,"[Date].[Date (Month)]","[Date].[Date (Month)].&amp;[oct]")</f>
        <v>197</v>
      </c>
      <c r="M54">
        <f t="shared" si="0"/>
        <v>-554</v>
      </c>
      <c r="N54" s="97">
        <v>100</v>
      </c>
    </row>
    <row r="55" spans="2:14" ht="32" customHeight="1" x14ac:dyDescent="0.45">
      <c r="B55" s="86"/>
      <c r="C55" s="93">
        <v>11</v>
      </c>
      <c r="D55" s="92" t="s">
        <v>188</v>
      </c>
      <c r="E55">
        <f>GETPIVOTDATA("[Measures].[TotalRevenue]",charts!$A$150,"[Date].[Date (Month)]","[Date].[Date (Month)].&amp;[nov]")</f>
        <v>23000</v>
      </c>
      <c r="F55">
        <f t="shared" si="1"/>
        <v>2300</v>
      </c>
      <c r="G55">
        <f t="shared" si="2"/>
        <v>4600</v>
      </c>
      <c r="H55">
        <f>GETPIVOTDATA("[Measures].[TotalDepense]",charts!$A$150,"[Date].[Date (Month)]","[Date].[Date (Month)].&amp;[nov]")</f>
        <v>4000</v>
      </c>
      <c r="I55">
        <f t="shared" si="3"/>
        <v>19000</v>
      </c>
      <c r="J55">
        <f>GETPIVOTDATA("[Measures].[Epargne]",charts!$A$150,"[Date].[Date (Month)]","[Date].[Date (Month)].&amp;[nov]")</f>
        <v>2300</v>
      </c>
      <c r="K55">
        <f t="shared" si="4"/>
        <v>16700</v>
      </c>
      <c r="L55">
        <f>GETPIVOTDATA("[Measures].[dime]",charts!$A$150,"[Date].[Date (Month)]","[Date].[Date (Month)].&amp;[nov]")</f>
        <v>1150</v>
      </c>
      <c r="M55">
        <f t="shared" si="0"/>
        <v>16400</v>
      </c>
      <c r="N55" s="97">
        <v>300</v>
      </c>
    </row>
    <row r="56" spans="2:14" ht="32" customHeight="1" x14ac:dyDescent="0.45">
      <c r="B56" s="86"/>
      <c r="C56" s="93">
        <v>12</v>
      </c>
      <c r="D56" s="94" t="s">
        <v>189</v>
      </c>
      <c r="E56" s="70">
        <f>GETPIVOTDATA("[Measures].[TotalRevenue]",charts!$A$150,"[Date].[Date (Month)]","[Date].[Date (Month)].&amp;[déc]")</f>
        <v>14000</v>
      </c>
      <c r="F56" s="70">
        <f t="shared" si="1"/>
        <v>1400</v>
      </c>
      <c r="G56" s="70">
        <f t="shared" si="2"/>
        <v>2800</v>
      </c>
      <c r="H56" s="70">
        <f>GETPIVOTDATA("[Measures].[TotalDepense]",charts!$A$150,"[Date].[Date (Month)]","[Date].[Date (Month)].&amp;[déc]")</f>
        <v>5000</v>
      </c>
      <c r="I56" s="70">
        <f t="shared" si="3"/>
        <v>9000</v>
      </c>
      <c r="J56" s="70">
        <f>GETPIVOTDATA("[Measures].[Epargne]",charts!$A$150,"[Date].[Date (Month)]","[Date].[Date (Month)].&amp;[déc]")</f>
        <v>1400</v>
      </c>
      <c r="K56">
        <f t="shared" si="4"/>
        <v>7600</v>
      </c>
      <c r="L56" s="70">
        <f>GETPIVOTDATA("[Measures].[dime]",charts!$A$150,"[Date].[Date (Month)]","[Date].[Date (Month)].&amp;[déc]")</f>
        <v>700</v>
      </c>
      <c r="M56" s="70">
        <f t="shared" si="0"/>
        <v>7500</v>
      </c>
      <c r="N56" s="97">
        <v>100</v>
      </c>
    </row>
    <row r="57" spans="2:14" ht="18.5" x14ac:dyDescent="0.45">
      <c r="B57" s="86"/>
      <c r="C57" s="95"/>
      <c r="D57" s="96"/>
      <c r="E57" s="96"/>
      <c r="F57" s="96"/>
      <c r="G57" s="96"/>
      <c r="H57" s="96"/>
      <c r="I57" s="96"/>
      <c r="J57" s="96"/>
      <c r="K57" s="96"/>
      <c r="L57" s="96"/>
      <c r="M57" s="96">
        <f t="shared" si="0"/>
        <v>-100</v>
      </c>
      <c r="N57" s="98">
        <v>100</v>
      </c>
    </row>
    <row r="58" spans="2:14" ht="18.5" x14ac:dyDescent="0.45">
      <c r="B58" s="86"/>
      <c r="C58" s="86" t="s">
        <v>198</v>
      </c>
      <c r="D58" s="15">
        <v>2024</v>
      </c>
      <c r="E58" s="99">
        <f>SUM(E45:E56)</f>
        <v>153991</v>
      </c>
      <c r="F58" s="99">
        <f t="shared" ref="F58:N58" si="5">SUM(F45:F56)</f>
        <v>15399.1</v>
      </c>
      <c r="G58" s="99">
        <f t="shared" si="5"/>
        <v>30798.2</v>
      </c>
      <c r="H58" s="99">
        <f t="shared" si="5"/>
        <v>44805</v>
      </c>
      <c r="I58" s="99">
        <f t="shared" si="5"/>
        <v>109186</v>
      </c>
      <c r="J58" s="99">
        <f t="shared" si="5"/>
        <v>15399.099999999999</v>
      </c>
      <c r="K58" s="99">
        <f t="shared" si="5"/>
        <v>93786.9</v>
      </c>
      <c r="L58" s="99">
        <f t="shared" si="5"/>
        <v>7699.5499999999993</v>
      </c>
      <c r="M58" s="99">
        <f t="shared" si="5"/>
        <v>92178.9</v>
      </c>
      <c r="N58" s="99">
        <f t="shared" si="5"/>
        <v>1608</v>
      </c>
    </row>
    <row r="59" spans="2:14" ht="18.5" x14ac:dyDescent="0.45">
      <c r="B59" s="86"/>
      <c r="C59" s="86"/>
    </row>
    <row r="60" spans="2:14" ht="18.5" x14ac:dyDescent="0.45">
      <c r="B60" s="86"/>
      <c r="C60" s="86"/>
    </row>
    <row r="61" spans="2:14" ht="18.5" x14ac:dyDescent="0.45">
      <c r="B61" s="86"/>
      <c r="C61" s="86"/>
    </row>
    <row r="62" spans="2:14" ht="18.5" x14ac:dyDescent="0.45">
      <c r="B62" s="86"/>
      <c r="C62" s="86"/>
    </row>
    <row r="63" spans="2:14" ht="18.5" x14ac:dyDescent="0.45">
      <c r="B63" s="86"/>
      <c r="C63" s="86"/>
    </row>
    <row r="64" spans="2:14" ht="18.5" x14ac:dyDescent="0.45">
      <c r="B64" s="86"/>
      <c r="C64" s="86"/>
    </row>
    <row r="65" spans="2:23" ht="18.5" x14ac:dyDescent="0.45">
      <c r="B65" s="86"/>
      <c r="C65" s="86"/>
    </row>
    <row r="66" spans="2:23" ht="18.5" x14ac:dyDescent="0.45">
      <c r="B66" s="86"/>
      <c r="C66" s="86"/>
    </row>
    <row r="67" spans="2:23" ht="18.5" x14ac:dyDescent="0.45">
      <c r="B67" s="86"/>
      <c r="C67" s="86"/>
    </row>
    <row r="68" spans="2:23" ht="18.5" x14ac:dyDescent="0.45">
      <c r="B68" s="86"/>
      <c r="C68" s="86"/>
    </row>
    <row r="69" spans="2:23" ht="18.5" x14ac:dyDescent="0.45">
      <c r="B69" s="86"/>
      <c r="C69" s="86"/>
    </row>
    <row r="70" spans="2:23" ht="18.5" x14ac:dyDescent="0.45">
      <c r="B70" s="86"/>
      <c r="C70" s="86"/>
    </row>
    <row r="71" spans="2:23" ht="18.5" x14ac:dyDescent="0.45">
      <c r="B71" s="86"/>
      <c r="C71" s="86"/>
      <c r="V71" s="12"/>
      <c r="W71" s="12"/>
    </row>
  </sheetData>
  <mergeCells count="11">
    <mergeCell ref="F38:K39"/>
    <mergeCell ref="C43:D43"/>
    <mergeCell ref="C44:D44"/>
    <mergeCell ref="B24:O24"/>
    <mergeCell ref="B27:O27"/>
    <mergeCell ref="B1:O1"/>
    <mergeCell ref="B6:O6"/>
    <mergeCell ref="B15:O15"/>
    <mergeCell ref="B17:O17"/>
    <mergeCell ref="B3:C3"/>
    <mergeCell ref="B4:C4"/>
  </mergeCells>
  <phoneticPr fontId="6" type="noConversion"/>
  <conditionalFormatting sqref="C34:N34">
    <cfRule type="cellIs" dxfId="6" priority="9" operator="lessThan">
      <formula>$E$3</formula>
    </cfRule>
  </conditionalFormatting>
  <conditionalFormatting sqref="C28:O31">
    <cfRule type="cellIs" dxfId="5" priority="6" operator="equal">
      <formula>0</formula>
    </cfRule>
  </conditionalFormatting>
  <conditionalFormatting sqref="C25:O26">
    <cfRule type="cellIs" dxfId="4" priority="5" operator="equal">
      <formula>0</formula>
    </cfRule>
  </conditionalFormatting>
  <conditionalFormatting sqref="C18:O23">
    <cfRule type="cellIs" dxfId="3" priority="4" operator="equal">
      <formula>0</formula>
    </cfRule>
  </conditionalFormatting>
  <conditionalFormatting sqref="C8:O11">
    <cfRule type="cellIs" dxfId="2" priority="3" operator="equal">
      <formula>0</formula>
    </cfRule>
  </conditionalFormatting>
  <conditionalFormatting sqref="I4">
    <cfRule type="cellIs" dxfId="1" priority="2" operator="lessThan">
      <formula>$F$4</formula>
    </cfRule>
  </conditionalFormatting>
  <conditionalFormatting sqref="K4">
    <cfRule type="cellIs" dxfId="0" priority="1" operator="lessThan">
      <formula>$E$4</formula>
    </cfRule>
  </conditionalFormatting>
  <pageMargins left="0.25" right="0.25" top="0.75" bottom="0.75" header="0.3" footer="0.3"/>
  <pageSetup paperSize="8" orientation="landscape" r:id="rId1"/>
  <headerFooter>
    <oddHeader>&amp;CKAKPEU   HERMANN    DESIRE&amp;R&amp;G</oddHeader>
    <oddFooter xml:space="preserve">&amp;LReste Dble = Reste Dépensable, c'est le reste apres déduction de l'épargne
L'epargne devient rouge quand elle est inférieure a 20% du revenu et la dime a 10%&amp;CLe Vrai Reste est le reste apres déduction des pertes
&amp;RLes pertes sont insérées manuellement
</oddFooter>
  </headerFooter>
  <drawing r:id="rId2"/>
  <legacyDrawing r:id="rId3"/>
  <legacyDrawingHF r:id="rId4"/>
  <controls>
    <mc:AlternateContent xmlns:mc="http://schemas.openxmlformats.org/markup-compatibility/2006">
      <mc:Choice Requires="x14">
        <control shapeId="4107" r:id="rId5" name="ComButtonPerte">
          <controlPr defaultSize="0" autoLine="0" r:id="rId6">
            <anchor moveWithCells="1">
              <from>
                <xdr:col>13</xdr:col>
                <xdr:colOff>12700</xdr:colOff>
                <xdr:row>43</xdr:row>
                <xdr:rowOff>12700</xdr:rowOff>
              </from>
              <to>
                <xdr:col>14</xdr:col>
                <xdr:colOff>0</xdr:colOff>
                <xdr:row>44</xdr:row>
                <xdr:rowOff>190500</xdr:rowOff>
              </to>
            </anchor>
          </controlPr>
        </control>
      </mc:Choice>
      <mc:Fallback>
        <control shapeId="4107" r:id="rId5" name="ComButtonPerte"/>
      </mc:Fallback>
    </mc:AlternateContent>
    <mc:AlternateContent xmlns:mc="http://schemas.openxmlformats.org/markup-compatibility/2006">
      <mc:Choice Requires="x14">
        <control shapeId="4104" r:id="rId7" name="Button 8">
          <controlPr defaultSize="0" print="0" autoFill="0" autoPict="0" macro="[0]!Button8_Click">
            <anchor moveWithCells="1" sizeWithCells="1">
              <from>
                <xdr:col>1</xdr:col>
                <xdr:colOff>12700</xdr:colOff>
                <xdr:row>0</xdr:row>
                <xdr:rowOff>0</xdr:rowOff>
              </from>
              <to>
                <xdr:col>3</xdr:col>
                <xdr:colOff>266700</xdr:colOff>
                <xdr:row>1</xdr:row>
                <xdr:rowOff>0</xdr:rowOff>
              </to>
            </anchor>
          </controlPr>
        </control>
      </mc:Choice>
    </mc:AlternateContent>
    <mc:AlternateContent xmlns:mc="http://schemas.openxmlformats.org/markup-compatibility/2006">
      <mc:Choice Requires="x14">
        <control shapeId="4105" r:id="rId8" name="Button 9">
          <controlPr defaultSize="0" print="0" autoFill="0" autoPict="0" macro="[0]!Button9_Click">
            <anchor moveWithCells="1" sizeWithCells="1">
              <from>
                <xdr:col>12</xdr:col>
                <xdr:colOff>476250</xdr:colOff>
                <xdr:row>0</xdr:row>
                <xdr:rowOff>12700</xdr:rowOff>
              </from>
              <to>
                <xdr:col>14</xdr:col>
                <xdr:colOff>996950</xdr:colOff>
                <xdr:row>1</xdr:row>
                <xdr:rowOff>12700</xdr:rowOff>
              </to>
            </anchor>
          </controlPr>
        </control>
      </mc:Choice>
    </mc:AlternateContent>
  </controls>
  <tableParts count="4">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5CD5C9-BDAD-4900-9E24-CF299BFC9FE0}">
  <sheetPr codeName="Sheet1"/>
  <dimension ref="A3:AC163"/>
  <sheetViews>
    <sheetView topLeftCell="A142" zoomScale="91" workbookViewId="0">
      <selection activeCell="A150" sqref="A150"/>
    </sheetView>
  </sheetViews>
  <sheetFormatPr defaultRowHeight="14.5" x14ac:dyDescent="0.35"/>
  <cols>
    <col min="1" max="1" width="12.6328125" bestFit="1" customWidth="1"/>
    <col min="2" max="2" width="12.1796875" bestFit="1" customWidth="1"/>
    <col min="3" max="4" width="13.6328125" bestFit="1" customWidth="1"/>
    <col min="5" max="5" width="12.26953125" bestFit="1" customWidth="1"/>
    <col min="6" max="6" width="9.36328125" bestFit="1" customWidth="1"/>
    <col min="7" max="7" width="7.90625" bestFit="1" customWidth="1"/>
    <col min="8" max="8" width="16" bestFit="1" customWidth="1"/>
    <col min="9" max="9" width="7.90625" bestFit="1" customWidth="1"/>
    <col min="10" max="10" width="12.6328125" bestFit="1" customWidth="1"/>
    <col min="11" max="11" width="12.1796875" bestFit="1" customWidth="1"/>
    <col min="12" max="12" width="12.6328125" bestFit="1" customWidth="1"/>
    <col min="13" max="13" width="12.1796875" bestFit="1" customWidth="1"/>
    <col min="17" max="17" width="17.08984375" bestFit="1" customWidth="1"/>
    <col min="18" max="18" width="14.1796875" bestFit="1" customWidth="1"/>
    <col min="27" max="27" width="12.6328125" bestFit="1" customWidth="1"/>
    <col min="28" max="28" width="8.26953125" bestFit="1" customWidth="1"/>
    <col min="29" max="30" width="9.6328125" bestFit="1" customWidth="1"/>
  </cols>
  <sheetData>
    <row r="3" spans="1:2" x14ac:dyDescent="0.35">
      <c r="A3" s="13" t="s">
        <v>41</v>
      </c>
      <c r="B3" t="s">
        <v>43</v>
      </c>
    </row>
    <row r="4" spans="1:2" x14ac:dyDescent="0.35">
      <c r="A4" s="14" t="s">
        <v>37</v>
      </c>
      <c r="B4">
        <v>96</v>
      </c>
    </row>
    <row r="5" spans="1:2" x14ac:dyDescent="0.35">
      <c r="A5" s="14" t="s">
        <v>38</v>
      </c>
      <c r="B5">
        <v>10</v>
      </c>
    </row>
    <row r="6" spans="1:2" x14ac:dyDescent="0.35">
      <c r="A6" s="14" t="s">
        <v>21</v>
      </c>
      <c r="B6">
        <v>177</v>
      </c>
    </row>
    <row r="7" spans="1:2" x14ac:dyDescent="0.35">
      <c r="A7" s="14" t="s">
        <v>40</v>
      </c>
      <c r="B7">
        <v>268.89999999999998</v>
      </c>
    </row>
    <row r="8" spans="1:2" x14ac:dyDescent="0.35">
      <c r="A8" s="14" t="s">
        <v>22</v>
      </c>
      <c r="B8">
        <v>98</v>
      </c>
    </row>
    <row r="9" spans="1:2" x14ac:dyDescent="0.35">
      <c r="A9" s="14" t="s">
        <v>42</v>
      </c>
      <c r="B9">
        <v>649.9</v>
      </c>
    </row>
    <row r="19" spans="1:2" x14ac:dyDescent="0.35">
      <c r="A19" s="13" t="s">
        <v>41</v>
      </c>
      <c r="B19" t="s">
        <v>47</v>
      </c>
    </row>
    <row r="20" spans="1:2" x14ac:dyDescent="0.35">
      <c r="A20" s="14" t="s">
        <v>45</v>
      </c>
      <c r="B20">
        <v>70</v>
      </c>
    </row>
    <row r="21" spans="1:2" x14ac:dyDescent="0.35">
      <c r="A21" s="14" t="s">
        <v>37</v>
      </c>
      <c r="B21">
        <v>96</v>
      </c>
    </row>
    <row r="22" spans="1:2" x14ac:dyDescent="0.35">
      <c r="A22" s="14" t="s">
        <v>38</v>
      </c>
      <c r="B22">
        <v>10</v>
      </c>
    </row>
    <row r="23" spans="1:2" x14ac:dyDescent="0.35">
      <c r="A23" s="14" t="s">
        <v>21</v>
      </c>
      <c r="B23">
        <v>177</v>
      </c>
    </row>
    <row r="24" spans="1:2" x14ac:dyDescent="0.35">
      <c r="A24" s="14" t="s">
        <v>40</v>
      </c>
      <c r="B24">
        <v>268.89999999999998</v>
      </c>
    </row>
    <row r="25" spans="1:2" x14ac:dyDescent="0.35">
      <c r="A25" s="14" t="s">
        <v>22</v>
      </c>
      <c r="B25">
        <v>98</v>
      </c>
    </row>
    <row r="26" spans="1:2" x14ac:dyDescent="0.35">
      <c r="A26" s="14" t="s">
        <v>46</v>
      </c>
    </row>
    <row r="27" spans="1:2" x14ac:dyDescent="0.35">
      <c r="A27" s="14" t="s">
        <v>42</v>
      </c>
      <c r="B27">
        <v>719.9</v>
      </c>
    </row>
    <row r="36" spans="1:13" x14ac:dyDescent="0.35">
      <c r="A36" s="16"/>
      <c r="B36" s="17"/>
      <c r="C36" s="18"/>
    </row>
    <row r="37" spans="1:13" x14ac:dyDescent="0.35">
      <c r="A37" s="19"/>
      <c r="B37" s="20"/>
      <c r="C37" s="21"/>
      <c r="L37" s="13" t="s">
        <v>41</v>
      </c>
      <c r="M37" t="s">
        <v>92</v>
      </c>
    </row>
    <row r="38" spans="1:13" x14ac:dyDescent="0.35">
      <c r="A38" s="19"/>
      <c r="B38" s="20"/>
      <c r="C38" s="21"/>
      <c r="L38" s="14" t="s">
        <v>35</v>
      </c>
      <c r="M38" s="63">
        <v>685</v>
      </c>
    </row>
    <row r="39" spans="1:13" x14ac:dyDescent="0.35">
      <c r="A39" s="19"/>
      <c r="B39" s="20"/>
      <c r="C39" s="21"/>
      <c r="L39" s="14" t="s">
        <v>17</v>
      </c>
      <c r="M39" s="63">
        <v>10961</v>
      </c>
    </row>
    <row r="40" spans="1:13" x14ac:dyDescent="0.35">
      <c r="A40" s="19"/>
      <c r="B40" s="20"/>
      <c r="C40" s="21"/>
      <c r="L40" s="14" t="s">
        <v>16</v>
      </c>
      <c r="M40" s="63">
        <v>25621</v>
      </c>
    </row>
    <row r="41" spans="1:13" x14ac:dyDescent="0.35">
      <c r="A41" s="19"/>
      <c r="B41" s="20"/>
      <c r="C41" s="21"/>
      <c r="L41" s="14" t="s">
        <v>42</v>
      </c>
      <c r="M41" s="63">
        <v>37267</v>
      </c>
    </row>
    <row r="42" spans="1:13" x14ac:dyDescent="0.35">
      <c r="A42" s="19"/>
      <c r="B42" s="20"/>
      <c r="C42" s="21"/>
    </row>
    <row r="43" spans="1:13" x14ac:dyDescent="0.35">
      <c r="A43" s="19"/>
      <c r="B43" s="20"/>
      <c r="C43" s="21"/>
    </row>
    <row r="44" spans="1:13" x14ac:dyDescent="0.35">
      <c r="A44" s="19"/>
      <c r="B44" s="20"/>
      <c r="C44" s="21"/>
    </row>
    <row r="45" spans="1:13" x14ac:dyDescent="0.35">
      <c r="A45" s="19"/>
      <c r="B45" s="20"/>
      <c r="C45" s="21"/>
    </row>
    <row r="46" spans="1:13" x14ac:dyDescent="0.35">
      <c r="A46" s="19"/>
      <c r="B46" s="20"/>
      <c r="C46" s="21"/>
    </row>
    <row r="47" spans="1:13" x14ac:dyDescent="0.35">
      <c r="A47" s="19"/>
      <c r="B47" s="20"/>
      <c r="C47" s="21"/>
    </row>
    <row r="48" spans="1:13" x14ac:dyDescent="0.35">
      <c r="A48" s="19"/>
      <c r="B48" s="20"/>
      <c r="C48" s="21"/>
    </row>
    <row r="49" spans="1:3" x14ac:dyDescent="0.35">
      <c r="A49" s="19"/>
      <c r="B49" s="20"/>
      <c r="C49" s="21"/>
    </row>
    <row r="50" spans="1:3" x14ac:dyDescent="0.35">
      <c r="A50" s="19"/>
      <c r="B50" s="20"/>
      <c r="C50" s="21"/>
    </row>
    <row r="51" spans="1:3" x14ac:dyDescent="0.35">
      <c r="A51" s="19"/>
      <c r="B51" s="20"/>
      <c r="C51" s="21"/>
    </row>
    <row r="52" spans="1:3" x14ac:dyDescent="0.35">
      <c r="A52" s="19"/>
      <c r="B52" s="20"/>
      <c r="C52" s="21"/>
    </row>
    <row r="53" spans="1:3" x14ac:dyDescent="0.35">
      <c r="A53" s="22"/>
      <c r="B53" s="23"/>
      <c r="C53" s="24"/>
    </row>
    <row r="55" spans="1:3" x14ac:dyDescent="0.35">
      <c r="A55" s="13" t="s">
        <v>41</v>
      </c>
    </row>
    <row r="56" spans="1:3" x14ac:dyDescent="0.35">
      <c r="A56" s="25">
        <v>1</v>
      </c>
    </row>
    <row r="57" spans="1:3" x14ac:dyDescent="0.35">
      <c r="A57" s="25" t="s">
        <v>42</v>
      </c>
    </row>
    <row r="68" spans="17:29" x14ac:dyDescent="0.35">
      <c r="AA68" s="13" t="s">
        <v>41</v>
      </c>
      <c r="AB68" t="s">
        <v>99</v>
      </c>
      <c r="AC68" t="s">
        <v>49</v>
      </c>
    </row>
    <row r="69" spans="17:29" x14ac:dyDescent="0.35">
      <c r="AA69" s="14" t="s">
        <v>91</v>
      </c>
      <c r="AB69" s="63"/>
      <c r="AC69" s="63"/>
    </row>
    <row r="70" spans="17:29" x14ac:dyDescent="0.35">
      <c r="AA70" s="26" t="s">
        <v>95</v>
      </c>
      <c r="AB70" s="63"/>
      <c r="AC70" s="63">
        <v>13873</v>
      </c>
    </row>
    <row r="71" spans="17:29" x14ac:dyDescent="0.35">
      <c r="Q71" t="s">
        <v>116</v>
      </c>
      <c r="AA71" s="26" t="s">
        <v>96</v>
      </c>
      <c r="AB71" s="63"/>
      <c r="AC71" s="63">
        <v>19562</v>
      </c>
    </row>
    <row r="72" spans="17:29" x14ac:dyDescent="0.35">
      <c r="Q72" s="63">
        <v>221.5</v>
      </c>
      <c r="AA72" s="26" t="s">
        <v>97</v>
      </c>
      <c r="AB72" s="63"/>
      <c r="AC72" s="63">
        <v>2630</v>
      </c>
    </row>
    <row r="73" spans="17:29" x14ac:dyDescent="0.35">
      <c r="AA73" s="26" t="s">
        <v>98</v>
      </c>
      <c r="AB73" s="63">
        <v>1772</v>
      </c>
      <c r="AC73" s="63">
        <v>-570</v>
      </c>
    </row>
    <row r="74" spans="17:29" x14ac:dyDescent="0.35">
      <c r="AA74" s="14" t="s">
        <v>42</v>
      </c>
      <c r="AB74" s="63">
        <v>1772</v>
      </c>
      <c r="AC74" s="63">
        <v>35495</v>
      </c>
    </row>
    <row r="88" spans="1:11" x14ac:dyDescent="0.35">
      <c r="A88" t="s">
        <v>93</v>
      </c>
      <c r="B88" t="s">
        <v>94</v>
      </c>
      <c r="C88" t="s">
        <v>92</v>
      </c>
    </row>
    <row r="89" spans="1:11" x14ac:dyDescent="0.35">
      <c r="A89" s="63">
        <v>1772</v>
      </c>
      <c r="B89" s="63">
        <v>35495</v>
      </c>
      <c r="C89" s="63">
        <v>37267</v>
      </c>
      <c r="E89">
        <f>GETPIVOTDATA("[Measures].[TotalReste]",$A$88)*0.2</f>
        <v>7099</v>
      </c>
    </row>
    <row r="93" spans="1:11" x14ac:dyDescent="0.35">
      <c r="F93" s="13" t="s">
        <v>41</v>
      </c>
      <c r="G93" t="s">
        <v>93</v>
      </c>
      <c r="J93" s="13" t="s">
        <v>41</v>
      </c>
      <c r="K93" t="s">
        <v>92</v>
      </c>
    </row>
    <row r="94" spans="1:11" x14ac:dyDescent="0.35">
      <c r="F94" s="14" t="s">
        <v>91</v>
      </c>
      <c r="G94" s="63">
        <v>1772</v>
      </c>
      <c r="J94" s="14" t="s">
        <v>91</v>
      </c>
      <c r="K94" s="63">
        <v>37267</v>
      </c>
    </row>
    <row r="95" spans="1:11" x14ac:dyDescent="0.35">
      <c r="F95" s="14" t="s">
        <v>42</v>
      </c>
      <c r="G95" s="63">
        <v>1772</v>
      </c>
      <c r="J95" s="14" t="s">
        <v>42</v>
      </c>
      <c r="K95" s="63">
        <v>37267</v>
      </c>
    </row>
    <row r="112" spans="1:2" x14ac:dyDescent="0.35">
      <c r="A112" s="13" t="s">
        <v>41</v>
      </c>
      <c r="B112" t="s">
        <v>89</v>
      </c>
    </row>
    <row r="113" spans="1:2" x14ac:dyDescent="0.35">
      <c r="A113" s="14" t="s">
        <v>44</v>
      </c>
      <c r="B113" s="63">
        <v>400</v>
      </c>
    </row>
    <row r="114" spans="1:2" x14ac:dyDescent="0.35">
      <c r="A114" s="14" t="s">
        <v>51</v>
      </c>
      <c r="B114" s="63">
        <v>2</v>
      </c>
    </row>
    <row r="115" spans="1:2" x14ac:dyDescent="0.35">
      <c r="A115" s="14" t="s">
        <v>28</v>
      </c>
      <c r="B115" s="63">
        <v>100</v>
      </c>
    </row>
    <row r="116" spans="1:2" x14ac:dyDescent="0.35">
      <c r="A116" s="14" t="s">
        <v>26</v>
      </c>
      <c r="B116" s="63">
        <v>50</v>
      </c>
    </row>
    <row r="117" spans="1:2" x14ac:dyDescent="0.35">
      <c r="A117" s="14" t="s">
        <v>78</v>
      </c>
      <c r="B117" s="63">
        <v>200</v>
      </c>
    </row>
    <row r="118" spans="1:2" x14ac:dyDescent="0.35">
      <c r="A118" s="14" t="s">
        <v>79</v>
      </c>
      <c r="B118" s="63">
        <v>20</v>
      </c>
    </row>
    <row r="119" spans="1:2" x14ac:dyDescent="0.35">
      <c r="A119" s="14" t="s">
        <v>20</v>
      </c>
      <c r="B119" s="63">
        <v>1000</v>
      </c>
    </row>
    <row r="120" spans="1:2" x14ac:dyDescent="0.35">
      <c r="A120" s="14" t="s">
        <v>42</v>
      </c>
      <c r="B120" s="63">
        <v>1772</v>
      </c>
    </row>
    <row r="137" spans="1:7" x14ac:dyDescent="0.35">
      <c r="A137" s="13" t="s">
        <v>41</v>
      </c>
      <c r="B137" t="s">
        <v>92</v>
      </c>
      <c r="D137" s="13" t="s">
        <v>41</v>
      </c>
      <c r="E137" t="s">
        <v>93</v>
      </c>
    </row>
    <row r="138" spans="1:7" x14ac:dyDescent="0.35">
      <c r="A138" s="14" t="s">
        <v>53</v>
      </c>
      <c r="B138" s="63">
        <v>144832</v>
      </c>
      <c r="D138" s="14" t="s">
        <v>53</v>
      </c>
      <c r="E138" s="63">
        <v>34960</v>
      </c>
      <c r="G138">
        <f>GETPIVOTDATA("[Measures].[TotalRevenue]",$A$137,"[revenuXYZ].[source]","[revenuXYZ].[source].&amp;[Banque]")-GETPIVOTDATA("[Measures].[TotalDepense]",$D$137,"[depense].[source]","[depense].[source].&amp;[Banque]")</f>
        <v>109872</v>
      </c>
    </row>
    <row r="139" spans="1:7" x14ac:dyDescent="0.35">
      <c r="A139" s="14" t="s">
        <v>54</v>
      </c>
      <c r="B139" s="63">
        <v>9159</v>
      </c>
      <c r="D139" s="14" t="s">
        <v>54</v>
      </c>
      <c r="E139" s="63">
        <v>9845</v>
      </c>
      <c r="G139">
        <f>GETPIVOTDATA("[Measures].[TotalRevenue]",$A$137,"[revenuXYZ].[source]","[revenuXYZ].[source].&amp;[Portefeuille]")-GETPIVOTDATA("[Measures].[TotalDepense]",$D$137,"[depense].[source]","[depense].[source].&amp;[Portefeuille]")</f>
        <v>-686</v>
      </c>
    </row>
    <row r="140" spans="1:7" x14ac:dyDescent="0.35">
      <c r="A140" s="14" t="s">
        <v>42</v>
      </c>
      <c r="B140" s="63">
        <v>153991</v>
      </c>
      <c r="D140" s="14" t="s">
        <v>42</v>
      </c>
      <c r="E140" s="63">
        <v>44805</v>
      </c>
    </row>
    <row r="144" spans="1:7" x14ac:dyDescent="0.35">
      <c r="D144" t="s">
        <v>143</v>
      </c>
    </row>
    <row r="150" spans="1:9" x14ac:dyDescent="0.35">
      <c r="A150" s="13" t="s">
        <v>41</v>
      </c>
      <c r="B150" t="s">
        <v>92</v>
      </c>
      <c r="C150" t="s">
        <v>191</v>
      </c>
      <c r="D150" t="s">
        <v>192</v>
      </c>
      <c r="E150" t="s">
        <v>93</v>
      </c>
      <c r="F150" t="s">
        <v>193</v>
      </c>
      <c r="G150" t="s">
        <v>88</v>
      </c>
      <c r="H150" t="s">
        <v>194</v>
      </c>
      <c r="I150" t="s">
        <v>195</v>
      </c>
    </row>
    <row r="151" spans="1:9" x14ac:dyDescent="0.35">
      <c r="A151" s="14" t="s">
        <v>144</v>
      </c>
      <c r="B151" s="63">
        <v>14600</v>
      </c>
      <c r="C151" s="63">
        <v>1460</v>
      </c>
      <c r="D151" s="63">
        <v>2920</v>
      </c>
      <c r="E151" s="63">
        <v>4920</v>
      </c>
      <c r="F151" s="88">
        <v>9680</v>
      </c>
      <c r="G151" s="63">
        <v>1460</v>
      </c>
      <c r="H151" s="63">
        <v>8220</v>
      </c>
      <c r="I151" s="63">
        <v>730</v>
      </c>
    </row>
    <row r="152" spans="1:9" x14ac:dyDescent="0.35">
      <c r="A152" s="14" t="s">
        <v>145</v>
      </c>
      <c r="B152" s="63">
        <v>22494</v>
      </c>
      <c r="C152" s="63">
        <v>2249.4</v>
      </c>
      <c r="D152" s="63">
        <v>4498.8</v>
      </c>
      <c r="E152" s="63">
        <v>3403</v>
      </c>
      <c r="F152" s="88">
        <v>19091</v>
      </c>
      <c r="G152" s="63">
        <v>2249.4</v>
      </c>
      <c r="H152" s="63">
        <v>16841.599999999999</v>
      </c>
      <c r="I152" s="63">
        <v>1124.7</v>
      </c>
    </row>
    <row r="153" spans="1:9" x14ac:dyDescent="0.35">
      <c r="A153" s="14" t="s">
        <v>146</v>
      </c>
      <c r="B153" s="63">
        <v>12700</v>
      </c>
      <c r="C153" s="63">
        <v>1270</v>
      </c>
      <c r="D153" s="63">
        <v>2540</v>
      </c>
      <c r="E153" s="63">
        <v>4810</v>
      </c>
      <c r="F153" s="88">
        <v>7890</v>
      </c>
      <c r="G153" s="63">
        <v>1270</v>
      </c>
      <c r="H153" s="63">
        <v>6620</v>
      </c>
      <c r="I153" s="63">
        <v>635</v>
      </c>
    </row>
    <row r="154" spans="1:9" x14ac:dyDescent="0.35">
      <c r="A154" s="14" t="s">
        <v>147</v>
      </c>
      <c r="B154" s="63">
        <v>10650</v>
      </c>
      <c r="C154" s="63">
        <v>1065</v>
      </c>
      <c r="D154" s="63">
        <v>2130</v>
      </c>
      <c r="E154" s="63">
        <v>3000</v>
      </c>
      <c r="F154" s="88">
        <v>7650</v>
      </c>
      <c r="G154" s="63">
        <v>1065</v>
      </c>
      <c r="H154" s="63">
        <v>6585</v>
      </c>
      <c r="I154" s="63">
        <v>532.5</v>
      </c>
    </row>
    <row r="155" spans="1:9" x14ac:dyDescent="0.35">
      <c r="A155" s="14" t="s">
        <v>148</v>
      </c>
      <c r="B155" s="63">
        <v>100</v>
      </c>
      <c r="C155" s="63">
        <v>10</v>
      </c>
      <c r="D155" s="63">
        <v>20</v>
      </c>
      <c r="E155" s="63">
        <v>3500</v>
      </c>
      <c r="F155" s="88">
        <v>-3400</v>
      </c>
      <c r="G155" s="63">
        <v>10</v>
      </c>
      <c r="H155" s="63">
        <v>-3410</v>
      </c>
      <c r="I155" s="63">
        <v>5</v>
      </c>
    </row>
    <row r="156" spans="1:9" x14ac:dyDescent="0.35">
      <c r="A156" s="14" t="s">
        <v>149</v>
      </c>
      <c r="B156" s="63">
        <v>1240</v>
      </c>
      <c r="C156" s="63">
        <v>124</v>
      </c>
      <c r="D156" s="63">
        <v>248</v>
      </c>
      <c r="E156" s="63">
        <v>3500</v>
      </c>
      <c r="F156" s="88">
        <v>-2260</v>
      </c>
      <c r="G156" s="63">
        <v>124</v>
      </c>
      <c r="H156" s="63">
        <v>-2384</v>
      </c>
      <c r="I156" s="63">
        <v>62</v>
      </c>
    </row>
    <row r="157" spans="1:9" x14ac:dyDescent="0.35">
      <c r="A157" s="14" t="s">
        <v>91</v>
      </c>
      <c r="B157" s="63">
        <v>37267</v>
      </c>
      <c r="C157" s="63">
        <v>3726.7000000000003</v>
      </c>
      <c r="D157" s="63">
        <v>7453.4000000000005</v>
      </c>
      <c r="E157" s="63">
        <v>1772</v>
      </c>
      <c r="F157" s="88">
        <v>35495</v>
      </c>
      <c r="G157" s="63">
        <v>3726.7</v>
      </c>
      <c r="H157" s="63">
        <v>31768.3</v>
      </c>
      <c r="I157" s="63">
        <v>1863.35</v>
      </c>
    </row>
    <row r="158" spans="1:9" x14ac:dyDescent="0.35">
      <c r="A158" s="14" t="s">
        <v>150</v>
      </c>
      <c r="B158" s="63">
        <v>1000</v>
      </c>
      <c r="C158" s="63">
        <v>100</v>
      </c>
      <c r="D158" s="63">
        <v>200</v>
      </c>
      <c r="E158" s="63">
        <v>3000</v>
      </c>
      <c r="F158" s="88">
        <v>-2000</v>
      </c>
      <c r="G158" s="63">
        <v>100</v>
      </c>
      <c r="H158" s="63">
        <v>-2100</v>
      </c>
      <c r="I158" s="63">
        <v>50</v>
      </c>
    </row>
    <row r="159" spans="1:9" x14ac:dyDescent="0.35">
      <c r="A159" s="14" t="s">
        <v>151</v>
      </c>
      <c r="B159" s="63">
        <v>13000</v>
      </c>
      <c r="C159" s="63">
        <v>1300</v>
      </c>
      <c r="D159" s="63">
        <v>2600</v>
      </c>
      <c r="E159" s="63">
        <v>3900</v>
      </c>
      <c r="F159" s="88">
        <v>9100</v>
      </c>
      <c r="G159" s="63">
        <v>1300</v>
      </c>
      <c r="H159" s="63">
        <v>7800</v>
      </c>
      <c r="I159" s="63">
        <v>650</v>
      </c>
    </row>
    <row r="160" spans="1:9" x14ac:dyDescent="0.35">
      <c r="A160" s="14" t="s">
        <v>152</v>
      </c>
      <c r="B160" s="63">
        <v>3940</v>
      </c>
      <c r="C160" s="63">
        <v>394</v>
      </c>
      <c r="D160" s="63">
        <v>788</v>
      </c>
      <c r="E160" s="63">
        <v>4000</v>
      </c>
      <c r="F160" s="88">
        <v>-60</v>
      </c>
      <c r="G160" s="63">
        <v>394</v>
      </c>
      <c r="H160" s="63">
        <v>-454</v>
      </c>
      <c r="I160" s="63">
        <v>197</v>
      </c>
    </row>
    <row r="161" spans="1:9" x14ac:dyDescent="0.35">
      <c r="A161" s="14" t="s">
        <v>153</v>
      </c>
      <c r="B161" s="63">
        <v>23000</v>
      </c>
      <c r="C161" s="63">
        <v>2300</v>
      </c>
      <c r="D161" s="63">
        <v>4600</v>
      </c>
      <c r="E161" s="63">
        <v>4000</v>
      </c>
      <c r="F161" s="88">
        <v>19000</v>
      </c>
      <c r="G161" s="63">
        <v>2300</v>
      </c>
      <c r="H161" s="63">
        <v>16700</v>
      </c>
      <c r="I161" s="63">
        <v>1150</v>
      </c>
    </row>
    <row r="162" spans="1:9" x14ac:dyDescent="0.35">
      <c r="A162" s="14" t="s">
        <v>154</v>
      </c>
      <c r="B162" s="63">
        <v>14000</v>
      </c>
      <c r="C162" s="63">
        <v>1400</v>
      </c>
      <c r="D162" s="63">
        <v>2800</v>
      </c>
      <c r="E162" s="63">
        <v>5000</v>
      </c>
      <c r="F162" s="88">
        <v>9000</v>
      </c>
      <c r="G162" s="63">
        <v>1400</v>
      </c>
      <c r="H162" s="63">
        <v>7600</v>
      </c>
      <c r="I162" s="63">
        <v>700</v>
      </c>
    </row>
    <row r="163" spans="1:9" x14ac:dyDescent="0.35">
      <c r="A163" s="14" t="s">
        <v>42</v>
      </c>
      <c r="B163" s="63">
        <v>153991</v>
      </c>
      <c r="C163" s="63">
        <v>15399.1</v>
      </c>
      <c r="D163" s="63">
        <v>30798.2</v>
      </c>
      <c r="E163" s="63">
        <v>44805</v>
      </c>
      <c r="F163" s="88">
        <v>109186</v>
      </c>
      <c r="G163" s="63">
        <v>15399.1</v>
      </c>
      <c r="H163" s="63">
        <v>93786.9</v>
      </c>
      <c r="I163" s="63">
        <v>7699.55</v>
      </c>
    </row>
  </sheetData>
  <pageMargins left="0.7" right="0.7" top="0.75" bottom="0.75" header="0.3" footer="0.3"/>
  <drawing r:id="rId1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08A79-275E-4DF8-8644-3D4CEEC76EDC}">
  <sheetPr codeName="Sheet5"/>
  <dimension ref="A1:C1097"/>
  <sheetViews>
    <sheetView topLeftCell="A28" workbookViewId="0">
      <selection activeCell="E21" sqref="E21"/>
    </sheetView>
  </sheetViews>
  <sheetFormatPr defaultRowHeight="14.5" x14ac:dyDescent="0.35"/>
  <cols>
    <col min="2" max="2" width="16.54296875" customWidth="1"/>
  </cols>
  <sheetData>
    <row r="1" spans="1:3" x14ac:dyDescent="0.35">
      <c r="A1" s="12" t="s">
        <v>31</v>
      </c>
      <c r="B1" s="12" t="s">
        <v>115</v>
      </c>
      <c r="C1" s="12" t="s">
        <v>175</v>
      </c>
    </row>
    <row r="2" spans="1:3" x14ac:dyDescent="0.35">
      <c r="A2" s="12">
        <v>45292</v>
      </c>
      <c r="B2" s="89">
        <f>MONTH(Table14[[#This Row],[Date]])</f>
        <v>1</v>
      </c>
      <c r="C2" s="89" t="str">
        <f>"S" &amp; WEEKNUM(Table14[[#This Row],[Date]])</f>
        <v>S1</v>
      </c>
    </row>
    <row r="3" spans="1:3" x14ac:dyDescent="0.35">
      <c r="A3" s="12">
        <v>45293</v>
      </c>
      <c r="B3" s="89">
        <f>MONTH(Table14[[#This Row],[Date]])</f>
        <v>1</v>
      </c>
      <c r="C3" s="89" t="str">
        <f>"S" &amp; WEEKNUM(Table14[[#This Row],[Date]])</f>
        <v>S1</v>
      </c>
    </row>
    <row r="4" spans="1:3" x14ac:dyDescent="0.35">
      <c r="A4" s="12">
        <v>45294</v>
      </c>
      <c r="B4" s="89">
        <f>MONTH(Table14[[#This Row],[Date]])</f>
        <v>1</v>
      </c>
      <c r="C4" s="89" t="str">
        <f>"S" &amp; WEEKNUM(Table14[[#This Row],[Date]])</f>
        <v>S1</v>
      </c>
    </row>
    <row r="5" spans="1:3" x14ac:dyDescent="0.35">
      <c r="A5" s="12">
        <v>45295</v>
      </c>
      <c r="B5" s="89">
        <f>MONTH(Table14[[#This Row],[Date]])</f>
        <v>1</v>
      </c>
      <c r="C5" s="89" t="str">
        <f>"S" &amp; WEEKNUM(Table14[[#This Row],[Date]])</f>
        <v>S1</v>
      </c>
    </row>
    <row r="6" spans="1:3" x14ac:dyDescent="0.35">
      <c r="A6" s="12">
        <v>45296</v>
      </c>
      <c r="B6" s="89">
        <f>MONTH(Table14[[#This Row],[Date]])</f>
        <v>1</v>
      </c>
      <c r="C6" s="89" t="str">
        <f>"S" &amp; WEEKNUM(Table14[[#This Row],[Date]])</f>
        <v>S1</v>
      </c>
    </row>
    <row r="7" spans="1:3" x14ac:dyDescent="0.35">
      <c r="A7" s="12">
        <v>45297</v>
      </c>
      <c r="B7" s="89">
        <f>MONTH(Table14[[#This Row],[Date]])</f>
        <v>1</v>
      </c>
      <c r="C7" s="89" t="str">
        <f>"S" &amp; WEEKNUM(Table14[[#This Row],[Date]])</f>
        <v>S1</v>
      </c>
    </row>
    <row r="8" spans="1:3" x14ac:dyDescent="0.35">
      <c r="A8" s="12">
        <v>45298</v>
      </c>
      <c r="B8" s="89">
        <f>MONTH(Table14[[#This Row],[Date]])</f>
        <v>1</v>
      </c>
      <c r="C8" s="89" t="str">
        <f>"S" &amp; WEEKNUM(Table14[[#This Row],[Date]])</f>
        <v>S2</v>
      </c>
    </row>
    <row r="9" spans="1:3" x14ac:dyDescent="0.35">
      <c r="A9" s="12">
        <v>45299</v>
      </c>
      <c r="B9" s="89">
        <f>MONTH(Table14[[#This Row],[Date]])</f>
        <v>1</v>
      </c>
      <c r="C9" s="89" t="str">
        <f>"S" &amp; WEEKNUM(Table14[[#This Row],[Date]])</f>
        <v>S2</v>
      </c>
    </row>
    <row r="10" spans="1:3" x14ac:dyDescent="0.35">
      <c r="A10" s="12">
        <v>45300</v>
      </c>
      <c r="B10" s="89">
        <f>MONTH(Table14[[#This Row],[Date]])</f>
        <v>1</v>
      </c>
      <c r="C10" s="89" t="str">
        <f>"S" &amp; WEEKNUM(Table14[[#This Row],[Date]])</f>
        <v>S2</v>
      </c>
    </row>
    <row r="11" spans="1:3" x14ac:dyDescent="0.35">
      <c r="A11" s="12">
        <v>45301</v>
      </c>
      <c r="B11" s="89">
        <f>MONTH(Table14[[#This Row],[Date]])</f>
        <v>1</v>
      </c>
      <c r="C11" s="89" t="str">
        <f>"S" &amp; WEEKNUM(Table14[[#This Row],[Date]])</f>
        <v>S2</v>
      </c>
    </row>
    <row r="12" spans="1:3" x14ac:dyDescent="0.35">
      <c r="A12" s="12">
        <v>45302</v>
      </c>
      <c r="B12" s="89">
        <f>MONTH(Table14[[#This Row],[Date]])</f>
        <v>1</v>
      </c>
      <c r="C12" s="89" t="str">
        <f>"S" &amp; WEEKNUM(Table14[[#This Row],[Date]])</f>
        <v>S2</v>
      </c>
    </row>
    <row r="13" spans="1:3" x14ac:dyDescent="0.35">
      <c r="A13" s="12">
        <v>45303</v>
      </c>
      <c r="B13" s="89">
        <f>MONTH(Table14[[#This Row],[Date]])</f>
        <v>1</v>
      </c>
      <c r="C13" s="89" t="str">
        <f>"S" &amp; WEEKNUM(Table14[[#This Row],[Date]])</f>
        <v>S2</v>
      </c>
    </row>
    <row r="14" spans="1:3" x14ac:dyDescent="0.35">
      <c r="A14" s="12">
        <v>45304</v>
      </c>
      <c r="B14" s="89">
        <f>MONTH(Table14[[#This Row],[Date]])</f>
        <v>1</v>
      </c>
      <c r="C14" s="89" t="str">
        <f>"S" &amp; WEEKNUM(Table14[[#This Row],[Date]])</f>
        <v>S2</v>
      </c>
    </row>
    <row r="15" spans="1:3" x14ac:dyDescent="0.35">
      <c r="A15" s="12">
        <v>45305</v>
      </c>
      <c r="B15" s="89">
        <f>MONTH(Table14[[#This Row],[Date]])</f>
        <v>1</v>
      </c>
      <c r="C15" s="89" t="str">
        <f>"S" &amp; WEEKNUM(Table14[[#This Row],[Date]])</f>
        <v>S3</v>
      </c>
    </row>
    <row r="16" spans="1:3" x14ac:dyDescent="0.35">
      <c r="A16" s="12">
        <v>45306</v>
      </c>
      <c r="B16" s="89">
        <f>MONTH(Table14[[#This Row],[Date]])</f>
        <v>1</v>
      </c>
      <c r="C16" s="89" t="str">
        <f>"S" &amp; WEEKNUM(Table14[[#This Row],[Date]])</f>
        <v>S3</v>
      </c>
    </row>
    <row r="17" spans="1:3" x14ac:dyDescent="0.35">
      <c r="A17" s="12">
        <v>45307</v>
      </c>
      <c r="B17" s="89">
        <f>MONTH(Table14[[#This Row],[Date]])</f>
        <v>1</v>
      </c>
      <c r="C17" s="89" t="str">
        <f>"S" &amp; WEEKNUM(Table14[[#This Row],[Date]])</f>
        <v>S3</v>
      </c>
    </row>
    <row r="18" spans="1:3" x14ac:dyDescent="0.35">
      <c r="A18" s="12">
        <v>45308</v>
      </c>
      <c r="B18" s="89">
        <f>MONTH(Table14[[#This Row],[Date]])</f>
        <v>1</v>
      </c>
      <c r="C18" s="89" t="str">
        <f>"S" &amp; WEEKNUM(Table14[[#This Row],[Date]])</f>
        <v>S3</v>
      </c>
    </row>
    <row r="19" spans="1:3" x14ac:dyDescent="0.35">
      <c r="A19" s="12">
        <v>45309</v>
      </c>
      <c r="B19" s="89">
        <f>MONTH(Table14[[#This Row],[Date]])</f>
        <v>1</v>
      </c>
      <c r="C19" s="89" t="str">
        <f>"S" &amp; WEEKNUM(Table14[[#This Row],[Date]])</f>
        <v>S3</v>
      </c>
    </row>
    <row r="20" spans="1:3" x14ac:dyDescent="0.35">
      <c r="A20" s="12">
        <v>45310</v>
      </c>
      <c r="B20" s="89">
        <f>MONTH(Table14[[#This Row],[Date]])</f>
        <v>1</v>
      </c>
      <c r="C20" s="89" t="str">
        <f>"S" &amp; WEEKNUM(Table14[[#This Row],[Date]])</f>
        <v>S3</v>
      </c>
    </row>
    <row r="21" spans="1:3" x14ac:dyDescent="0.35">
      <c r="A21" s="12">
        <v>45311</v>
      </c>
      <c r="B21" s="89">
        <f>MONTH(Table14[[#This Row],[Date]])</f>
        <v>1</v>
      </c>
      <c r="C21" s="89" t="str">
        <f>"S" &amp; WEEKNUM(Table14[[#This Row],[Date]])</f>
        <v>S3</v>
      </c>
    </row>
    <row r="22" spans="1:3" x14ac:dyDescent="0.35">
      <c r="A22" s="12">
        <v>45312</v>
      </c>
      <c r="B22" s="89">
        <f>MONTH(Table14[[#This Row],[Date]])</f>
        <v>1</v>
      </c>
      <c r="C22" s="89" t="str">
        <f>"S" &amp; WEEKNUM(Table14[[#This Row],[Date]])</f>
        <v>S4</v>
      </c>
    </row>
    <row r="23" spans="1:3" x14ac:dyDescent="0.35">
      <c r="A23" s="12">
        <v>45313</v>
      </c>
      <c r="B23" s="89">
        <f>MONTH(Table14[[#This Row],[Date]])</f>
        <v>1</v>
      </c>
      <c r="C23" s="89" t="str">
        <f>"S" &amp; WEEKNUM(Table14[[#This Row],[Date]])</f>
        <v>S4</v>
      </c>
    </row>
    <row r="24" spans="1:3" x14ac:dyDescent="0.35">
      <c r="A24" s="12">
        <v>45314</v>
      </c>
      <c r="B24" s="89">
        <f>MONTH(Table14[[#This Row],[Date]])</f>
        <v>1</v>
      </c>
      <c r="C24" s="89" t="str">
        <f>"S" &amp; WEEKNUM(Table14[[#This Row],[Date]])</f>
        <v>S4</v>
      </c>
    </row>
    <row r="25" spans="1:3" x14ac:dyDescent="0.35">
      <c r="A25" s="12">
        <v>45315</v>
      </c>
      <c r="B25" s="89">
        <f>MONTH(Table14[[#This Row],[Date]])</f>
        <v>1</v>
      </c>
      <c r="C25" s="89" t="str">
        <f>"S" &amp; WEEKNUM(Table14[[#This Row],[Date]])</f>
        <v>S4</v>
      </c>
    </row>
    <row r="26" spans="1:3" x14ac:dyDescent="0.35">
      <c r="A26" s="12">
        <v>45316</v>
      </c>
      <c r="B26" s="89">
        <f>MONTH(Table14[[#This Row],[Date]])</f>
        <v>1</v>
      </c>
      <c r="C26" s="89" t="str">
        <f>"S" &amp; WEEKNUM(Table14[[#This Row],[Date]])</f>
        <v>S4</v>
      </c>
    </row>
    <row r="27" spans="1:3" x14ac:dyDescent="0.35">
      <c r="A27" s="12">
        <v>45317</v>
      </c>
      <c r="B27" s="89">
        <f>MONTH(Table14[[#This Row],[Date]])</f>
        <v>1</v>
      </c>
      <c r="C27" s="89" t="str">
        <f>"S" &amp; WEEKNUM(Table14[[#This Row],[Date]])</f>
        <v>S4</v>
      </c>
    </row>
    <row r="28" spans="1:3" x14ac:dyDescent="0.35">
      <c r="A28" s="12">
        <v>45318</v>
      </c>
      <c r="B28" s="89">
        <f>MONTH(Table14[[#This Row],[Date]])</f>
        <v>1</v>
      </c>
      <c r="C28" s="89" t="str">
        <f>"S" &amp; WEEKNUM(Table14[[#This Row],[Date]])</f>
        <v>S4</v>
      </c>
    </row>
    <row r="29" spans="1:3" x14ac:dyDescent="0.35">
      <c r="A29" s="12">
        <v>45319</v>
      </c>
      <c r="B29" s="89">
        <f>MONTH(Table14[[#This Row],[Date]])</f>
        <v>1</v>
      </c>
      <c r="C29" s="89" t="str">
        <f>"S" &amp; WEEKNUM(Table14[[#This Row],[Date]])</f>
        <v>S5</v>
      </c>
    </row>
    <row r="30" spans="1:3" x14ac:dyDescent="0.35">
      <c r="A30" s="12">
        <v>45320</v>
      </c>
      <c r="B30" s="89">
        <f>MONTH(Table14[[#This Row],[Date]])</f>
        <v>1</v>
      </c>
      <c r="C30" s="89" t="str">
        <f>"S" &amp; WEEKNUM(Table14[[#This Row],[Date]])</f>
        <v>S5</v>
      </c>
    </row>
    <row r="31" spans="1:3" x14ac:dyDescent="0.35">
      <c r="A31" s="12">
        <v>45321</v>
      </c>
      <c r="B31" s="89">
        <f>MONTH(Table14[[#This Row],[Date]])</f>
        <v>1</v>
      </c>
      <c r="C31" s="89" t="str">
        <f>"S" &amp; WEEKNUM(Table14[[#This Row],[Date]])</f>
        <v>S5</v>
      </c>
    </row>
    <row r="32" spans="1:3" x14ac:dyDescent="0.35">
      <c r="A32" s="12">
        <v>45322</v>
      </c>
      <c r="B32" s="89">
        <f>MONTH(Table14[[#This Row],[Date]])</f>
        <v>1</v>
      </c>
      <c r="C32" s="89" t="str">
        <f>"S" &amp; WEEKNUM(Table14[[#This Row],[Date]])</f>
        <v>S5</v>
      </c>
    </row>
    <row r="33" spans="1:3" x14ac:dyDescent="0.35">
      <c r="A33" s="12">
        <v>45323</v>
      </c>
      <c r="B33" s="89">
        <f>MONTH(Table14[[#This Row],[Date]])</f>
        <v>2</v>
      </c>
      <c r="C33" s="89" t="str">
        <f>"S" &amp; WEEKNUM(Table14[[#This Row],[Date]])</f>
        <v>S5</v>
      </c>
    </row>
    <row r="34" spans="1:3" x14ac:dyDescent="0.35">
      <c r="A34" s="12">
        <v>45324</v>
      </c>
      <c r="B34" s="89">
        <f>MONTH(Table14[[#This Row],[Date]])</f>
        <v>2</v>
      </c>
      <c r="C34" s="89" t="str">
        <f>"S" &amp; WEEKNUM(Table14[[#This Row],[Date]])</f>
        <v>S5</v>
      </c>
    </row>
    <row r="35" spans="1:3" x14ac:dyDescent="0.35">
      <c r="A35" s="12">
        <v>45325</v>
      </c>
      <c r="B35" s="89">
        <f>MONTH(Table14[[#This Row],[Date]])</f>
        <v>2</v>
      </c>
      <c r="C35" s="89" t="str">
        <f>"S" &amp; WEEKNUM(Table14[[#This Row],[Date]])</f>
        <v>S5</v>
      </c>
    </row>
    <row r="36" spans="1:3" x14ac:dyDescent="0.35">
      <c r="A36" s="12">
        <v>45326</v>
      </c>
      <c r="B36" s="89">
        <f>MONTH(Table14[[#This Row],[Date]])</f>
        <v>2</v>
      </c>
      <c r="C36" s="89" t="str">
        <f>"S" &amp; WEEKNUM(Table14[[#This Row],[Date]])</f>
        <v>S6</v>
      </c>
    </row>
    <row r="37" spans="1:3" x14ac:dyDescent="0.35">
      <c r="A37" s="12">
        <v>45327</v>
      </c>
      <c r="B37" s="89">
        <f>MONTH(Table14[[#This Row],[Date]])</f>
        <v>2</v>
      </c>
      <c r="C37" s="89" t="str">
        <f>"S" &amp; WEEKNUM(Table14[[#This Row],[Date]])</f>
        <v>S6</v>
      </c>
    </row>
    <row r="38" spans="1:3" x14ac:dyDescent="0.35">
      <c r="A38" s="12">
        <v>45328</v>
      </c>
      <c r="B38" s="89">
        <f>MONTH(Table14[[#This Row],[Date]])</f>
        <v>2</v>
      </c>
      <c r="C38" s="89" t="str">
        <f>"S" &amp; WEEKNUM(Table14[[#This Row],[Date]])</f>
        <v>S6</v>
      </c>
    </row>
    <row r="39" spans="1:3" x14ac:dyDescent="0.35">
      <c r="A39" s="12">
        <v>45329</v>
      </c>
      <c r="B39" s="89">
        <f>MONTH(Table14[[#This Row],[Date]])</f>
        <v>2</v>
      </c>
      <c r="C39" s="89" t="str">
        <f>"S" &amp; WEEKNUM(Table14[[#This Row],[Date]])</f>
        <v>S6</v>
      </c>
    </row>
    <row r="40" spans="1:3" x14ac:dyDescent="0.35">
      <c r="A40" s="12">
        <v>45330</v>
      </c>
      <c r="B40" s="89">
        <f>MONTH(Table14[[#This Row],[Date]])</f>
        <v>2</v>
      </c>
      <c r="C40" s="89" t="str">
        <f>"S" &amp; WEEKNUM(Table14[[#This Row],[Date]])</f>
        <v>S6</v>
      </c>
    </row>
    <row r="41" spans="1:3" x14ac:dyDescent="0.35">
      <c r="A41" s="12">
        <v>45331</v>
      </c>
      <c r="B41" s="89">
        <f>MONTH(Table14[[#This Row],[Date]])</f>
        <v>2</v>
      </c>
      <c r="C41" s="89" t="str">
        <f>"S" &amp; WEEKNUM(Table14[[#This Row],[Date]])</f>
        <v>S6</v>
      </c>
    </row>
    <row r="42" spans="1:3" x14ac:dyDescent="0.35">
      <c r="A42" s="12">
        <v>45332</v>
      </c>
      <c r="B42" s="89">
        <f>MONTH(Table14[[#This Row],[Date]])</f>
        <v>2</v>
      </c>
      <c r="C42" s="89" t="str">
        <f>"S" &amp; WEEKNUM(Table14[[#This Row],[Date]])</f>
        <v>S6</v>
      </c>
    </row>
    <row r="43" spans="1:3" x14ac:dyDescent="0.35">
      <c r="A43" s="12">
        <v>45333</v>
      </c>
      <c r="B43" s="89">
        <f>MONTH(Table14[[#This Row],[Date]])</f>
        <v>2</v>
      </c>
      <c r="C43" s="89" t="str">
        <f>"S" &amp; WEEKNUM(Table14[[#This Row],[Date]])</f>
        <v>S7</v>
      </c>
    </row>
    <row r="44" spans="1:3" x14ac:dyDescent="0.35">
      <c r="A44" s="12">
        <v>45334</v>
      </c>
      <c r="B44" s="89">
        <f>MONTH(Table14[[#This Row],[Date]])</f>
        <v>2</v>
      </c>
      <c r="C44" s="89" t="str">
        <f>"S" &amp; WEEKNUM(Table14[[#This Row],[Date]])</f>
        <v>S7</v>
      </c>
    </row>
    <row r="45" spans="1:3" x14ac:dyDescent="0.35">
      <c r="A45" s="12">
        <v>45335</v>
      </c>
      <c r="B45" s="89">
        <f>MONTH(Table14[[#This Row],[Date]])</f>
        <v>2</v>
      </c>
      <c r="C45" s="89" t="str">
        <f>"S" &amp; WEEKNUM(Table14[[#This Row],[Date]])</f>
        <v>S7</v>
      </c>
    </row>
    <row r="46" spans="1:3" x14ac:dyDescent="0.35">
      <c r="A46" s="12">
        <v>45336</v>
      </c>
      <c r="B46" s="89">
        <f>MONTH(Table14[[#This Row],[Date]])</f>
        <v>2</v>
      </c>
      <c r="C46" s="89" t="str">
        <f>"S" &amp; WEEKNUM(Table14[[#This Row],[Date]])</f>
        <v>S7</v>
      </c>
    </row>
    <row r="47" spans="1:3" x14ac:dyDescent="0.35">
      <c r="A47" s="12">
        <v>45337</v>
      </c>
      <c r="B47" s="89">
        <f>MONTH(Table14[[#This Row],[Date]])</f>
        <v>2</v>
      </c>
      <c r="C47" s="89" t="str">
        <f>"S" &amp; WEEKNUM(Table14[[#This Row],[Date]])</f>
        <v>S7</v>
      </c>
    </row>
    <row r="48" spans="1:3" x14ac:dyDescent="0.35">
      <c r="A48" s="12">
        <v>45338</v>
      </c>
      <c r="B48" s="89">
        <f>MONTH(Table14[[#This Row],[Date]])</f>
        <v>2</v>
      </c>
      <c r="C48" s="89" t="str">
        <f>"S" &amp; WEEKNUM(Table14[[#This Row],[Date]])</f>
        <v>S7</v>
      </c>
    </row>
    <row r="49" spans="1:3" x14ac:dyDescent="0.35">
      <c r="A49" s="12">
        <v>45339</v>
      </c>
      <c r="B49" s="89">
        <f>MONTH(Table14[[#This Row],[Date]])</f>
        <v>2</v>
      </c>
      <c r="C49" s="89" t="str">
        <f>"S" &amp; WEEKNUM(Table14[[#This Row],[Date]])</f>
        <v>S7</v>
      </c>
    </row>
    <row r="50" spans="1:3" x14ac:dyDescent="0.35">
      <c r="A50" s="12">
        <v>45340</v>
      </c>
      <c r="B50" s="89">
        <f>MONTH(Table14[[#This Row],[Date]])</f>
        <v>2</v>
      </c>
      <c r="C50" s="89" t="str">
        <f>"S" &amp; WEEKNUM(Table14[[#This Row],[Date]])</f>
        <v>S8</v>
      </c>
    </row>
    <row r="51" spans="1:3" x14ac:dyDescent="0.35">
      <c r="A51" s="12">
        <v>45341</v>
      </c>
      <c r="B51" s="89">
        <f>MONTH(Table14[[#This Row],[Date]])</f>
        <v>2</v>
      </c>
      <c r="C51" s="89" t="str">
        <f>"S" &amp; WEEKNUM(Table14[[#This Row],[Date]])</f>
        <v>S8</v>
      </c>
    </row>
    <row r="52" spans="1:3" x14ac:dyDescent="0.35">
      <c r="A52" s="12">
        <v>45342</v>
      </c>
      <c r="B52" s="89">
        <f>MONTH(Table14[[#This Row],[Date]])</f>
        <v>2</v>
      </c>
      <c r="C52" s="89" t="str">
        <f>"S" &amp; WEEKNUM(Table14[[#This Row],[Date]])</f>
        <v>S8</v>
      </c>
    </row>
    <row r="53" spans="1:3" x14ac:dyDescent="0.35">
      <c r="A53" s="12">
        <v>45343</v>
      </c>
      <c r="B53" s="89">
        <f>MONTH(Table14[[#This Row],[Date]])</f>
        <v>2</v>
      </c>
      <c r="C53" s="89" t="str">
        <f>"S" &amp; WEEKNUM(Table14[[#This Row],[Date]])</f>
        <v>S8</v>
      </c>
    </row>
    <row r="54" spans="1:3" x14ac:dyDescent="0.35">
      <c r="A54" s="12">
        <v>45344</v>
      </c>
      <c r="B54" s="89">
        <f>MONTH(Table14[[#This Row],[Date]])</f>
        <v>2</v>
      </c>
      <c r="C54" s="89" t="str">
        <f>"S" &amp; WEEKNUM(Table14[[#This Row],[Date]])</f>
        <v>S8</v>
      </c>
    </row>
    <row r="55" spans="1:3" x14ac:dyDescent="0.35">
      <c r="A55" s="12">
        <v>45345</v>
      </c>
      <c r="B55" s="89">
        <f>MONTH(Table14[[#This Row],[Date]])</f>
        <v>2</v>
      </c>
      <c r="C55" s="89" t="str">
        <f>"S" &amp; WEEKNUM(Table14[[#This Row],[Date]])</f>
        <v>S8</v>
      </c>
    </row>
    <row r="56" spans="1:3" x14ac:dyDescent="0.35">
      <c r="A56" s="12">
        <v>45346</v>
      </c>
      <c r="B56" s="89">
        <f>MONTH(Table14[[#This Row],[Date]])</f>
        <v>2</v>
      </c>
      <c r="C56" s="89" t="str">
        <f>"S" &amp; WEEKNUM(Table14[[#This Row],[Date]])</f>
        <v>S8</v>
      </c>
    </row>
    <row r="57" spans="1:3" x14ac:dyDescent="0.35">
      <c r="A57" s="12">
        <v>45347</v>
      </c>
      <c r="B57" s="89">
        <f>MONTH(Table14[[#This Row],[Date]])</f>
        <v>2</v>
      </c>
      <c r="C57" s="89" t="str">
        <f>"S" &amp; WEEKNUM(Table14[[#This Row],[Date]])</f>
        <v>S9</v>
      </c>
    </row>
    <row r="58" spans="1:3" x14ac:dyDescent="0.35">
      <c r="A58" s="12">
        <v>45348</v>
      </c>
      <c r="B58" s="89">
        <f>MONTH(Table14[[#This Row],[Date]])</f>
        <v>2</v>
      </c>
      <c r="C58" s="89" t="str">
        <f>"S" &amp; WEEKNUM(Table14[[#This Row],[Date]])</f>
        <v>S9</v>
      </c>
    </row>
    <row r="59" spans="1:3" x14ac:dyDescent="0.35">
      <c r="A59" s="12">
        <v>45349</v>
      </c>
      <c r="B59" s="89">
        <f>MONTH(Table14[[#This Row],[Date]])</f>
        <v>2</v>
      </c>
      <c r="C59" s="89" t="str">
        <f>"S" &amp; WEEKNUM(Table14[[#This Row],[Date]])</f>
        <v>S9</v>
      </c>
    </row>
    <row r="60" spans="1:3" x14ac:dyDescent="0.35">
      <c r="A60" s="12">
        <v>45350</v>
      </c>
      <c r="B60" s="89">
        <f>MONTH(Table14[[#This Row],[Date]])</f>
        <v>2</v>
      </c>
      <c r="C60" s="89" t="str">
        <f>"S" &amp; WEEKNUM(Table14[[#This Row],[Date]])</f>
        <v>S9</v>
      </c>
    </row>
    <row r="61" spans="1:3" x14ac:dyDescent="0.35">
      <c r="A61" s="12">
        <v>45351</v>
      </c>
      <c r="B61" s="89">
        <f>MONTH(Table14[[#This Row],[Date]])</f>
        <v>2</v>
      </c>
      <c r="C61" s="89" t="str">
        <f>"S" &amp; WEEKNUM(Table14[[#This Row],[Date]])</f>
        <v>S9</v>
      </c>
    </row>
    <row r="62" spans="1:3" x14ac:dyDescent="0.35">
      <c r="A62" s="12">
        <v>45352</v>
      </c>
      <c r="B62" s="89">
        <f>MONTH(Table14[[#This Row],[Date]])</f>
        <v>3</v>
      </c>
      <c r="C62" s="89" t="str">
        <f>"S" &amp; WEEKNUM(Table14[[#This Row],[Date]])</f>
        <v>S9</v>
      </c>
    </row>
    <row r="63" spans="1:3" x14ac:dyDescent="0.35">
      <c r="A63" s="12">
        <v>45353</v>
      </c>
      <c r="B63" s="89">
        <f>MONTH(Table14[[#This Row],[Date]])</f>
        <v>3</v>
      </c>
      <c r="C63" s="89" t="str">
        <f>"S" &amp; WEEKNUM(Table14[[#This Row],[Date]])</f>
        <v>S9</v>
      </c>
    </row>
    <row r="64" spans="1:3" x14ac:dyDescent="0.35">
      <c r="A64" s="12">
        <v>45354</v>
      </c>
      <c r="B64" s="89">
        <f>MONTH(Table14[[#This Row],[Date]])</f>
        <v>3</v>
      </c>
      <c r="C64" s="89" t="str">
        <f>"S" &amp; WEEKNUM(Table14[[#This Row],[Date]])</f>
        <v>S10</v>
      </c>
    </row>
    <row r="65" spans="1:3" x14ac:dyDescent="0.35">
      <c r="A65" s="12">
        <v>45355</v>
      </c>
      <c r="B65" s="89">
        <f>MONTH(Table14[[#This Row],[Date]])</f>
        <v>3</v>
      </c>
      <c r="C65" s="89" t="str">
        <f>"S" &amp; WEEKNUM(Table14[[#This Row],[Date]])</f>
        <v>S10</v>
      </c>
    </row>
    <row r="66" spans="1:3" x14ac:dyDescent="0.35">
      <c r="A66" s="12">
        <v>45356</v>
      </c>
      <c r="B66" s="89">
        <f>MONTH(Table14[[#This Row],[Date]])</f>
        <v>3</v>
      </c>
      <c r="C66" s="89" t="str">
        <f>"S" &amp; WEEKNUM(Table14[[#This Row],[Date]])</f>
        <v>S10</v>
      </c>
    </row>
    <row r="67" spans="1:3" x14ac:dyDescent="0.35">
      <c r="A67" s="12">
        <v>45357</v>
      </c>
      <c r="B67" s="89">
        <f>MONTH(Table14[[#This Row],[Date]])</f>
        <v>3</v>
      </c>
      <c r="C67" s="89" t="str">
        <f>"S" &amp; WEEKNUM(Table14[[#This Row],[Date]])</f>
        <v>S10</v>
      </c>
    </row>
    <row r="68" spans="1:3" x14ac:dyDescent="0.35">
      <c r="A68" s="12">
        <v>45358</v>
      </c>
      <c r="B68" s="89">
        <f>MONTH(Table14[[#This Row],[Date]])</f>
        <v>3</v>
      </c>
      <c r="C68" s="89" t="str">
        <f>"S" &amp; WEEKNUM(Table14[[#This Row],[Date]])</f>
        <v>S10</v>
      </c>
    </row>
    <row r="69" spans="1:3" x14ac:dyDescent="0.35">
      <c r="A69" s="12">
        <v>45359</v>
      </c>
      <c r="B69" s="89">
        <f>MONTH(Table14[[#This Row],[Date]])</f>
        <v>3</v>
      </c>
      <c r="C69" s="89" t="str">
        <f>"S" &amp; WEEKNUM(Table14[[#This Row],[Date]])</f>
        <v>S10</v>
      </c>
    </row>
    <row r="70" spans="1:3" x14ac:dyDescent="0.35">
      <c r="A70" s="12">
        <v>45360</v>
      </c>
      <c r="B70" s="89">
        <f>MONTH(Table14[[#This Row],[Date]])</f>
        <v>3</v>
      </c>
      <c r="C70" s="89" t="str">
        <f>"S" &amp; WEEKNUM(Table14[[#This Row],[Date]])</f>
        <v>S10</v>
      </c>
    </row>
    <row r="71" spans="1:3" x14ac:dyDescent="0.35">
      <c r="A71" s="12">
        <v>45361</v>
      </c>
      <c r="B71" s="89">
        <f>MONTH(Table14[[#This Row],[Date]])</f>
        <v>3</v>
      </c>
      <c r="C71" s="89" t="str">
        <f>"S" &amp; WEEKNUM(Table14[[#This Row],[Date]])</f>
        <v>S11</v>
      </c>
    </row>
    <row r="72" spans="1:3" x14ac:dyDescent="0.35">
      <c r="A72" s="12">
        <v>45362</v>
      </c>
      <c r="B72" s="89">
        <f>MONTH(Table14[[#This Row],[Date]])</f>
        <v>3</v>
      </c>
      <c r="C72" s="89" t="str">
        <f>"S" &amp; WEEKNUM(Table14[[#This Row],[Date]])</f>
        <v>S11</v>
      </c>
    </row>
    <row r="73" spans="1:3" x14ac:dyDescent="0.35">
      <c r="A73" s="12">
        <v>45363</v>
      </c>
      <c r="B73" s="89">
        <f>MONTH(Table14[[#This Row],[Date]])</f>
        <v>3</v>
      </c>
      <c r="C73" s="89" t="str">
        <f>"S" &amp; WEEKNUM(Table14[[#This Row],[Date]])</f>
        <v>S11</v>
      </c>
    </row>
    <row r="74" spans="1:3" x14ac:dyDescent="0.35">
      <c r="A74" s="12">
        <v>45364</v>
      </c>
      <c r="B74" s="89">
        <f>MONTH(Table14[[#This Row],[Date]])</f>
        <v>3</v>
      </c>
      <c r="C74" s="89" t="str">
        <f>"S" &amp; WEEKNUM(Table14[[#This Row],[Date]])</f>
        <v>S11</v>
      </c>
    </row>
    <row r="75" spans="1:3" x14ac:dyDescent="0.35">
      <c r="A75" s="12">
        <v>45365</v>
      </c>
      <c r="B75" s="89">
        <f>MONTH(Table14[[#This Row],[Date]])</f>
        <v>3</v>
      </c>
      <c r="C75" s="89" t="str">
        <f>"S" &amp; WEEKNUM(Table14[[#This Row],[Date]])</f>
        <v>S11</v>
      </c>
    </row>
    <row r="76" spans="1:3" x14ac:dyDescent="0.35">
      <c r="A76" s="12">
        <v>45366</v>
      </c>
      <c r="B76" s="89">
        <f>MONTH(Table14[[#This Row],[Date]])</f>
        <v>3</v>
      </c>
      <c r="C76" s="89" t="str">
        <f>"S" &amp; WEEKNUM(Table14[[#This Row],[Date]])</f>
        <v>S11</v>
      </c>
    </row>
    <row r="77" spans="1:3" x14ac:dyDescent="0.35">
      <c r="A77" s="12">
        <v>45367</v>
      </c>
      <c r="B77" s="89">
        <f>MONTH(Table14[[#This Row],[Date]])</f>
        <v>3</v>
      </c>
      <c r="C77" s="89" t="str">
        <f>"S" &amp; WEEKNUM(Table14[[#This Row],[Date]])</f>
        <v>S11</v>
      </c>
    </row>
    <row r="78" spans="1:3" x14ac:dyDescent="0.35">
      <c r="A78" s="12">
        <v>45368</v>
      </c>
      <c r="B78" s="89">
        <f>MONTH(Table14[[#This Row],[Date]])</f>
        <v>3</v>
      </c>
      <c r="C78" s="89" t="str">
        <f>"S" &amp; WEEKNUM(Table14[[#This Row],[Date]])</f>
        <v>S12</v>
      </c>
    </row>
    <row r="79" spans="1:3" x14ac:dyDescent="0.35">
      <c r="A79" s="12">
        <v>45369</v>
      </c>
      <c r="B79" s="89">
        <f>MONTH(Table14[[#This Row],[Date]])</f>
        <v>3</v>
      </c>
      <c r="C79" s="89" t="str">
        <f>"S" &amp; WEEKNUM(Table14[[#This Row],[Date]])</f>
        <v>S12</v>
      </c>
    </row>
    <row r="80" spans="1:3" x14ac:dyDescent="0.35">
      <c r="A80" s="12">
        <v>45370</v>
      </c>
      <c r="B80" s="89">
        <f>MONTH(Table14[[#This Row],[Date]])</f>
        <v>3</v>
      </c>
      <c r="C80" s="89" t="str">
        <f>"S" &amp; WEEKNUM(Table14[[#This Row],[Date]])</f>
        <v>S12</v>
      </c>
    </row>
    <row r="81" spans="1:3" x14ac:dyDescent="0.35">
      <c r="A81" s="12">
        <v>45371</v>
      </c>
      <c r="B81" s="89">
        <f>MONTH(Table14[[#This Row],[Date]])</f>
        <v>3</v>
      </c>
      <c r="C81" s="89" t="str">
        <f>"S" &amp; WEEKNUM(Table14[[#This Row],[Date]])</f>
        <v>S12</v>
      </c>
    </row>
    <row r="82" spans="1:3" x14ac:dyDescent="0.35">
      <c r="A82" s="12">
        <v>45372</v>
      </c>
      <c r="B82" s="89">
        <f>MONTH(Table14[[#This Row],[Date]])</f>
        <v>3</v>
      </c>
      <c r="C82" s="89" t="str">
        <f>"S" &amp; WEEKNUM(Table14[[#This Row],[Date]])</f>
        <v>S12</v>
      </c>
    </row>
    <row r="83" spans="1:3" x14ac:dyDescent="0.35">
      <c r="A83" s="12">
        <v>45373</v>
      </c>
      <c r="B83" s="89">
        <f>MONTH(Table14[[#This Row],[Date]])</f>
        <v>3</v>
      </c>
      <c r="C83" s="89" t="str">
        <f>"S" &amp; WEEKNUM(Table14[[#This Row],[Date]])</f>
        <v>S12</v>
      </c>
    </row>
    <row r="84" spans="1:3" x14ac:dyDescent="0.35">
      <c r="A84" s="12">
        <v>45374</v>
      </c>
      <c r="B84" s="89">
        <f>MONTH(Table14[[#This Row],[Date]])</f>
        <v>3</v>
      </c>
      <c r="C84" s="89" t="str">
        <f>"S" &amp; WEEKNUM(Table14[[#This Row],[Date]])</f>
        <v>S12</v>
      </c>
    </row>
    <row r="85" spans="1:3" x14ac:dyDescent="0.35">
      <c r="A85" s="12">
        <v>45375</v>
      </c>
      <c r="B85" s="89">
        <f>MONTH(Table14[[#This Row],[Date]])</f>
        <v>3</v>
      </c>
      <c r="C85" s="89" t="str">
        <f>"S" &amp; WEEKNUM(Table14[[#This Row],[Date]])</f>
        <v>S13</v>
      </c>
    </row>
    <row r="86" spans="1:3" x14ac:dyDescent="0.35">
      <c r="A86" s="12">
        <v>45376</v>
      </c>
      <c r="B86" s="89">
        <f>MONTH(Table14[[#This Row],[Date]])</f>
        <v>3</v>
      </c>
      <c r="C86" s="89" t="str">
        <f>"S" &amp; WEEKNUM(Table14[[#This Row],[Date]])</f>
        <v>S13</v>
      </c>
    </row>
    <row r="87" spans="1:3" x14ac:dyDescent="0.35">
      <c r="A87" s="12">
        <v>45377</v>
      </c>
      <c r="B87" s="89">
        <f>MONTH(Table14[[#This Row],[Date]])</f>
        <v>3</v>
      </c>
      <c r="C87" s="89" t="str">
        <f>"S" &amp; WEEKNUM(Table14[[#This Row],[Date]])</f>
        <v>S13</v>
      </c>
    </row>
    <row r="88" spans="1:3" x14ac:dyDescent="0.35">
      <c r="A88" s="12">
        <v>45378</v>
      </c>
      <c r="B88" s="89">
        <f>MONTH(Table14[[#This Row],[Date]])</f>
        <v>3</v>
      </c>
      <c r="C88" s="89" t="str">
        <f>"S" &amp; WEEKNUM(Table14[[#This Row],[Date]])</f>
        <v>S13</v>
      </c>
    </row>
    <row r="89" spans="1:3" x14ac:dyDescent="0.35">
      <c r="A89" s="12">
        <v>45379</v>
      </c>
      <c r="B89" s="89">
        <f>MONTH(Table14[[#This Row],[Date]])</f>
        <v>3</v>
      </c>
      <c r="C89" s="89" t="str">
        <f>"S" &amp; WEEKNUM(Table14[[#This Row],[Date]])</f>
        <v>S13</v>
      </c>
    </row>
    <row r="90" spans="1:3" x14ac:dyDescent="0.35">
      <c r="A90" s="12">
        <v>45380</v>
      </c>
      <c r="B90" s="89">
        <f>MONTH(Table14[[#This Row],[Date]])</f>
        <v>3</v>
      </c>
      <c r="C90" s="89" t="str">
        <f>"S" &amp; WEEKNUM(Table14[[#This Row],[Date]])</f>
        <v>S13</v>
      </c>
    </row>
    <row r="91" spans="1:3" x14ac:dyDescent="0.35">
      <c r="A91" s="12">
        <v>45381</v>
      </c>
      <c r="B91" s="89">
        <f>MONTH(Table14[[#This Row],[Date]])</f>
        <v>3</v>
      </c>
      <c r="C91" s="89" t="str">
        <f>"S" &amp; WEEKNUM(Table14[[#This Row],[Date]])</f>
        <v>S13</v>
      </c>
    </row>
    <row r="92" spans="1:3" x14ac:dyDescent="0.35">
      <c r="A92" s="12">
        <v>45382</v>
      </c>
      <c r="B92" s="89">
        <f>MONTH(Table14[[#This Row],[Date]])</f>
        <v>3</v>
      </c>
      <c r="C92" s="89" t="str">
        <f>"S" &amp; WEEKNUM(Table14[[#This Row],[Date]])</f>
        <v>S14</v>
      </c>
    </row>
    <row r="93" spans="1:3" x14ac:dyDescent="0.35">
      <c r="A93" s="12">
        <v>45383</v>
      </c>
      <c r="B93" s="89">
        <f>MONTH(Table14[[#This Row],[Date]])</f>
        <v>4</v>
      </c>
      <c r="C93" s="89" t="str">
        <f>"S" &amp; WEEKNUM(Table14[[#This Row],[Date]])</f>
        <v>S14</v>
      </c>
    </row>
    <row r="94" spans="1:3" x14ac:dyDescent="0.35">
      <c r="A94" s="12">
        <v>45384</v>
      </c>
      <c r="B94" s="89">
        <f>MONTH(Table14[[#This Row],[Date]])</f>
        <v>4</v>
      </c>
      <c r="C94" s="89" t="str">
        <f>"S" &amp; WEEKNUM(Table14[[#This Row],[Date]])</f>
        <v>S14</v>
      </c>
    </row>
    <row r="95" spans="1:3" x14ac:dyDescent="0.35">
      <c r="A95" s="12">
        <v>45385</v>
      </c>
      <c r="B95" s="89">
        <f>MONTH(Table14[[#This Row],[Date]])</f>
        <v>4</v>
      </c>
      <c r="C95" s="89" t="str">
        <f>"S" &amp; WEEKNUM(Table14[[#This Row],[Date]])</f>
        <v>S14</v>
      </c>
    </row>
    <row r="96" spans="1:3" x14ac:dyDescent="0.35">
      <c r="A96" s="12">
        <v>45386</v>
      </c>
      <c r="B96" s="89">
        <f>MONTH(Table14[[#This Row],[Date]])</f>
        <v>4</v>
      </c>
      <c r="C96" s="89" t="str">
        <f>"S" &amp; WEEKNUM(Table14[[#This Row],[Date]])</f>
        <v>S14</v>
      </c>
    </row>
    <row r="97" spans="1:3" x14ac:dyDescent="0.35">
      <c r="A97" s="12">
        <v>45387</v>
      </c>
      <c r="B97" s="89">
        <f>MONTH(Table14[[#This Row],[Date]])</f>
        <v>4</v>
      </c>
      <c r="C97" s="89" t="str">
        <f>"S" &amp; WEEKNUM(Table14[[#This Row],[Date]])</f>
        <v>S14</v>
      </c>
    </row>
    <row r="98" spans="1:3" x14ac:dyDescent="0.35">
      <c r="A98" s="12">
        <v>45388</v>
      </c>
      <c r="B98" s="89">
        <f>MONTH(Table14[[#This Row],[Date]])</f>
        <v>4</v>
      </c>
      <c r="C98" s="89" t="str">
        <f>"S" &amp; WEEKNUM(Table14[[#This Row],[Date]])</f>
        <v>S14</v>
      </c>
    </row>
    <row r="99" spans="1:3" x14ac:dyDescent="0.35">
      <c r="A99" s="12">
        <v>45389</v>
      </c>
      <c r="B99" s="89">
        <f>MONTH(Table14[[#This Row],[Date]])</f>
        <v>4</v>
      </c>
      <c r="C99" s="89" t="str">
        <f>"S" &amp; WEEKNUM(Table14[[#This Row],[Date]])</f>
        <v>S15</v>
      </c>
    </row>
    <row r="100" spans="1:3" x14ac:dyDescent="0.35">
      <c r="A100" s="12">
        <v>45390</v>
      </c>
      <c r="B100" s="89">
        <f>MONTH(Table14[[#This Row],[Date]])</f>
        <v>4</v>
      </c>
      <c r="C100" s="89" t="str">
        <f>"S" &amp; WEEKNUM(Table14[[#This Row],[Date]])</f>
        <v>S15</v>
      </c>
    </row>
    <row r="101" spans="1:3" x14ac:dyDescent="0.35">
      <c r="A101" s="12">
        <v>45391</v>
      </c>
      <c r="B101" s="89">
        <f>MONTH(Table14[[#This Row],[Date]])</f>
        <v>4</v>
      </c>
      <c r="C101" s="89" t="str">
        <f>"S" &amp; WEEKNUM(Table14[[#This Row],[Date]])</f>
        <v>S15</v>
      </c>
    </row>
    <row r="102" spans="1:3" x14ac:dyDescent="0.35">
      <c r="A102" s="12">
        <v>45392</v>
      </c>
      <c r="B102" s="89">
        <f>MONTH(Table14[[#This Row],[Date]])</f>
        <v>4</v>
      </c>
      <c r="C102" s="89" t="str">
        <f>"S" &amp; WEEKNUM(Table14[[#This Row],[Date]])</f>
        <v>S15</v>
      </c>
    </row>
    <row r="103" spans="1:3" x14ac:dyDescent="0.35">
      <c r="A103" s="12">
        <v>45393</v>
      </c>
      <c r="B103" s="89">
        <f>MONTH(Table14[[#This Row],[Date]])</f>
        <v>4</v>
      </c>
      <c r="C103" s="89" t="str">
        <f>"S" &amp; WEEKNUM(Table14[[#This Row],[Date]])</f>
        <v>S15</v>
      </c>
    </row>
    <row r="104" spans="1:3" x14ac:dyDescent="0.35">
      <c r="A104" s="12">
        <v>45394</v>
      </c>
      <c r="B104" s="89">
        <f>MONTH(Table14[[#This Row],[Date]])</f>
        <v>4</v>
      </c>
      <c r="C104" s="89" t="str">
        <f>"S" &amp; WEEKNUM(Table14[[#This Row],[Date]])</f>
        <v>S15</v>
      </c>
    </row>
    <row r="105" spans="1:3" x14ac:dyDescent="0.35">
      <c r="A105" s="12">
        <v>45395</v>
      </c>
      <c r="B105" s="89">
        <f>MONTH(Table14[[#This Row],[Date]])</f>
        <v>4</v>
      </c>
      <c r="C105" s="89" t="str">
        <f>"S" &amp; WEEKNUM(Table14[[#This Row],[Date]])</f>
        <v>S15</v>
      </c>
    </row>
    <row r="106" spans="1:3" x14ac:dyDescent="0.35">
      <c r="A106" s="12">
        <v>45396</v>
      </c>
      <c r="B106" s="89">
        <f>MONTH(Table14[[#This Row],[Date]])</f>
        <v>4</v>
      </c>
      <c r="C106" s="89" t="str">
        <f>"S" &amp; WEEKNUM(Table14[[#This Row],[Date]])</f>
        <v>S16</v>
      </c>
    </row>
    <row r="107" spans="1:3" x14ac:dyDescent="0.35">
      <c r="A107" s="12">
        <v>45397</v>
      </c>
      <c r="B107" s="89">
        <f>MONTH(Table14[[#This Row],[Date]])</f>
        <v>4</v>
      </c>
      <c r="C107" s="89" t="str">
        <f>"S" &amp; WEEKNUM(Table14[[#This Row],[Date]])</f>
        <v>S16</v>
      </c>
    </row>
    <row r="108" spans="1:3" x14ac:dyDescent="0.35">
      <c r="A108" s="12">
        <v>45398</v>
      </c>
      <c r="B108" s="89">
        <f>MONTH(Table14[[#This Row],[Date]])</f>
        <v>4</v>
      </c>
      <c r="C108" s="89" t="str">
        <f>"S" &amp; WEEKNUM(Table14[[#This Row],[Date]])</f>
        <v>S16</v>
      </c>
    </row>
    <row r="109" spans="1:3" x14ac:dyDescent="0.35">
      <c r="A109" s="12">
        <v>45399</v>
      </c>
      <c r="B109" s="89">
        <f>MONTH(Table14[[#This Row],[Date]])</f>
        <v>4</v>
      </c>
      <c r="C109" s="89" t="str">
        <f>"S" &amp; WEEKNUM(Table14[[#This Row],[Date]])</f>
        <v>S16</v>
      </c>
    </row>
    <row r="110" spans="1:3" x14ac:dyDescent="0.35">
      <c r="A110" s="12">
        <v>45400</v>
      </c>
      <c r="B110" s="89">
        <f>MONTH(Table14[[#This Row],[Date]])</f>
        <v>4</v>
      </c>
      <c r="C110" s="89" t="str">
        <f>"S" &amp; WEEKNUM(Table14[[#This Row],[Date]])</f>
        <v>S16</v>
      </c>
    </row>
    <row r="111" spans="1:3" x14ac:dyDescent="0.35">
      <c r="A111" s="12">
        <v>45401</v>
      </c>
      <c r="B111" s="89">
        <f>MONTH(Table14[[#This Row],[Date]])</f>
        <v>4</v>
      </c>
      <c r="C111" s="89" t="str">
        <f>"S" &amp; WEEKNUM(Table14[[#This Row],[Date]])</f>
        <v>S16</v>
      </c>
    </row>
    <row r="112" spans="1:3" x14ac:dyDescent="0.35">
      <c r="A112" s="12">
        <v>45402</v>
      </c>
      <c r="B112" s="89">
        <f>MONTH(Table14[[#This Row],[Date]])</f>
        <v>4</v>
      </c>
      <c r="C112" s="89" t="str">
        <f>"S" &amp; WEEKNUM(Table14[[#This Row],[Date]])</f>
        <v>S16</v>
      </c>
    </row>
    <row r="113" spans="1:3" x14ac:dyDescent="0.35">
      <c r="A113" s="12">
        <v>45403</v>
      </c>
      <c r="B113" s="89">
        <f>MONTH(Table14[[#This Row],[Date]])</f>
        <v>4</v>
      </c>
      <c r="C113" s="89" t="str">
        <f>"S" &amp; WEEKNUM(Table14[[#This Row],[Date]])</f>
        <v>S17</v>
      </c>
    </row>
    <row r="114" spans="1:3" x14ac:dyDescent="0.35">
      <c r="A114" s="12">
        <v>45404</v>
      </c>
      <c r="B114" s="89">
        <f>MONTH(Table14[[#This Row],[Date]])</f>
        <v>4</v>
      </c>
      <c r="C114" s="89" t="str">
        <f>"S" &amp; WEEKNUM(Table14[[#This Row],[Date]])</f>
        <v>S17</v>
      </c>
    </row>
    <row r="115" spans="1:3" x14ac:dyDescent="0.35">
      <c r="A115" s="12">
        <v>45405</v>
      </c>
      <c r="B115" s="89">
        <f>MONTH(Table14[[#This Row],[Date]])</f>
        <v>4</v>
      </c>
      <c r="C115" s="89" t="str">
        <f>"S" &amp; WEEKNUM(Table14[[#This Row],[Date]])</f>
        <v>S17</v>
      </c>
    </row>
    <row r="116" spans="1:3" x14ac:dyDescent="0.35">
      <c r="A116" s="12">
        <v>45406</v>
      </c>
      <c r="B116" s="89">
        <f>MONTH(Table14[[#This Row],[Date]])</f>
        <v>4</v>
      </c>
      <c r="C116" s="89" t="str">
        <f>"S" &amp; WEEKNUM(Table14[[#This Row],[Date]])</f>
        <v>S17</v>
      </c>
    </row>
    <row r="117" spans="1:3" x14ac:dyDescent="0.35">
      <c r="A117" s="12">
        <v>45407</v>
      </c>
      <c r="B117" s="89">
        <f>MONTH(Table14[[#This Row],[Date]])</f>
        <v>4</v>
      </c>
      <c r="C117" s="89" t="str">
        <f>"S" &amp; WEEKNUM(Table14[[#This Row],[Date]])</f>
        <v>S17</v>
      </c>
    </row>
    <row r="118" spans="1:3" x14ac:dyDescent="0.35">
      <c r="A118" s="12">
        <v>45408</v>
      </c>
      <c r="B118" s="89">
        <f>MONTH(Table14[[#This Row],[Date]])</f>
        <v>4</v>
      </c>
      <c r="C118" s="89" t="str">
        <f>"S" &amp; WEEKNUM(Table14[[#This Row],[Date]])</f>
        <v>S17</v>
      </c>
    </row>
    <row r="119" spans="1:3" x14ac:dyDescent="0.35">
      <c r="A119" s="12">
        <v>45409</v>
      </c>
      <c r="B119" s="89">
        <f>MONTH(Table14[[#This Row],[Date]])</f>
        <v>4</v>
      </c>
      <c r="C119" s="89" t="str">
        <f>"S" &amp; WEEKNUM(Table14[[#This Row],[Date]])</f>
        <v>S17</v>
      </c>
    </row>
    <row r="120" spans="1:3" x14ac:dyDescent="0.35">
      <c r="A120" s="12">
        <v>45410</v>
      </c>
      <c r="B120" s="89">
        <f>MONTH(Table14[[#This Row],[Date]])</f>
        <v>4</v>
      </c>
      <c r="C120" s="89" t="str">
        <f>"S" &amp; WEEKNUM(Table14[[#This Row],[Date]])</f>
        <v>S18</v>
      </c>
    </row>
    <row r="121" spans="1:3" x14ac:dyDescent="0.35">
      <c r="A121" s="12">
        <v>45411</v>
      </c>
      <c r="B121" s="89">
        <f>MONTH(Table14[[#This Row],[Date]])</f>
        <v>4</v>
      </c>
      <c r="C121" s="89" t="str">
        <f>"S" &amp; WEEKNUM(Table14[[#This Row],[Date]])</f>
        <v>S18</v>
      </c>
    </row>
    <row r="122" spans="1:3" x14ac:dyDescent="0.35">
      <c r="A122" s="12">
        <v>45412</v>
      </c>
      <c r="B122" s="89">
        <f>MONTH(Table14[[#This Row],[Date]])</f>
        <v>4</v>
      </c>
      <c r="C122" s="89" t="str">
        <f>"S" &amp; WEEKNUM(Table14[[#This Row],[Date]])</f>
        <v>S18</v>
      </c>
    </row>
    <row r="123" spans="1:3" x14ac:dyDescent="0.35">
      <c r="A123" s="12">
        <v>45413</v>
      </c>
      <c r="B123" s="89">
        <f>MONTH(Table14[[#This Row],[Date]])</f>
        <v>5</v>
      </c>
      <c r="C123" s="89" t="str">
        <f>"S" &amp; WEEKNUM(Table14[[#This Row],[Date]])</f>
        <v>S18</v>
      </c>
    </row>
    <row r="124" spans="1:3" x14ac:dyDescent="0.35">
      <c r="A124" s="12">
        <v>45414</v>
      </c>
      <c r="B124" s="89">
        <f>MONTH(Table14[[#This Row],[Date]])</f>
        <v>5</v>
      </c>
      <c r="C124" s="89" t="str">
        <f>"S" &amp; WEEKNUM(Table14[[#This Row],[Date]])</f>
        <v>S18</v>
      </c>
    </row>
    <row r="125" spans="1:3" x14ac:dyDescent="0.35">
      <c r="A125" s="12">
        <v>45415</v>
      </c>
      <c r="B125" s="89">
        <f>MONTH(Table14[[#This Row],[Date]])</f>
        <v>5</v>
      </c>
      <c r="C125" s="89" t="str">
        <f>"S" &amp; WEEKNUM(Table14[[#This Row],[Date]])</f>
        <v>S18</v>
      </c>
    </row>
    <row r="126" spans="1:3" x14ac:dyDescent="0.35">
      <c r="A126" s="12">
        <v>45416</v>
      </c>
      <c r="B126" s="89">
        <f>MONTH(Table14[[#This Row],[Date]])</f>
        <v>5</v>
      </c>
      <c r="C126" s="89" t="str">
        <f>"S" &amp; WEEKNUM(Table14[[#This Row],[Date]])</f>
        <v>S18</v>
      </c>
    </row>
    <row r="127" spans="1:3" x14ac:dyDescent="0.35">
      <c r="A127" s="12">
        <v>45417</v>
      </c>
      <c r="B127" s="89">
        <f>MONTH(Table14[[#This Row],[Date]])</f>
        <v>5</v>
      </c>
      <c r="C127" s="89" t="str">
        <f>"S" &amp; WEEKNUM(Table14[[#This Row],[Date]])</f>
        <v>S19</v>
      </c>
    </row>
    <row r="128" spans="1:3" x14ac:dyDescent="0.35">
      <c r="A128" s="12">
        <v>45418</v>
      </c>
      <c r="B128" s="89">
        <f>MONTH(Table14[[#This Row],[Date]])</f>
        <v>5</v>
      </c>
      <c r="C128" s="89" t="str">
        <f>"S" &amp; WEEKNUM(Table14[[#This Row],[Date]])</f>
        <v>S19</v>
      </c>
    </row>
    <row r="129" spans="1:3" x14ac:dyDescent="0.35">
      <c r="A129" s="12">
        <v>45419</v>
      </c>
      <c r="B129" s="89">
        <f>MONTH(Table14[[#This Row],[Date]])</f>
        <v>5</v>
      </c>
      <c r="C129" s="89" t="str">
        <f>"S" &amp; WEEKNUM(Table14[[#This Row],[Date]])</f>
        <v>S19</v>
      </c>
    </row>
    <row r="130" spans="1:3" x14ac:dyDescent="0.35">
      <c r="A130" s="12">
        <v>45420</v>
      </c>
      <c r="B130" s="89">
        <f>MONTH(Table14[[#This Row],[Date]])</f>
        <v>5</v>
      </c>
      <c r="C130" s="89" t="str">
        <f>"S" &amp; WEEKNUM(Table14[[#This Row],[Date]])</f>
        <v>S19</v>
      </c>
    </row>
    <row r="131" spans="1:3" x14ac:dyDescent="0.35">
      <c r="A131" s="12">
        <v>45421</v>
      </c>
      <c r="B131" s="89">
        <f>MONTH(Table14[[#This Row],[Date]])</f>
        <v>5</v>
      </c>
      <c r="C131" s="89" t="str">
        <f>"S" &amp; WEEKNUM(Table14[[#This Row],[Date]])</f>
        <v>S19</v>
      </c>
    </row>
    <row r="132" spans="1:3" x14ac:dyDescent="0.35">
      <c r="A132" s="12">
        <v>45422</v>
      </c>
      <c r="B132" s="89">
        <f>MONTH(Table14[[#This Row],[Date]])</f>
        <v>5</v>
      </c>
      <c r="C132" s="89" t="str">
        <f>"S" &amp; WEEKNUM(Table14[[#This Row],[Date]])</f>
        <v>S19</v>
      </c>
    </row>
    <row r="133" spans="1:3" x14ac:dyDescent="0.35">
      <c r="A133" s="12">
        <v>45423</v>
      </c>
      <c r="B133" s="89">
        <f>MONTH(Table14[[#This Row],[Date]])</f>
        <v>5</v>
      </c>
      <c r="C133" s="89" t="str">
        <f>"S" &amp; WEEKNUM(Table14[[#This Row],[Date]])</f>
        <v>S19</v>
      </c>
    </row>
    <row r="134" spans="1:3" x14ac:dyDescent="0.35">
      <c r="A134" s="12">
        <v>45424</v>
      </c>
      <c r="B134" s="89">
        <f>MONTH(Table14[[#This Row],[Date]])</f>
        <v>5</v>
      </c>
      <c r="C134" s="89" t="str">
        <f>"S" &amp; WEEKNUM(Table14[[#This Row],[Date]])</f>
        <v>S20</v>
      </c>
    </row>
    <row r="135" spans="1:3" x14ac:dyDescent="0.35">
      <c r="A135" s="12">
        <v>45425</v>
      </c>
      <c r="B135" s="89">
        <f>MONTH(Table14[[#This Row],[Date]])</f>
        <v>5</v>
      </c>
      <c r="C135" s="89" t="str">
        <f>"S" &amp; WEEKNUM(Table14[[#This Row],[Date]])</f>
        <v>S20</v>
      </c>
    </row>
    <row r="136" spans="1:3" x14ac:dyDescent="0.35">
      <c r="A136" s="12">
        <v>45426</v>
      </c>
      <c r="B136" s="89">
        <f>MONTH(Table14[[#This Row],[Date]])</f>
        <v>5</v>
      </c>
      <c r="C136" s="89" t="str">
        <f>"S" &amp; WEEKNUM(Table14[[#This Row],[Date]])</f>
        <v>S20</v>
      </c>
    </row>
    <row r="137" spans="1:3" x14ac:dyDescent="0.35">
      <c r="A137" s="12">
        <v>45427</v>
      </c>
      <c r="B137" s="89">
        <f>MONTH(Table14[[#This Row],[Date]])</f>
        <v>5</v>
      </c>
      <c r="C137" s="89" t="str">
        <f>"S" &amp; WEEKNUM(Table14[[#This Row],[Date]])</f>
        <v>S20</v>
      </c>
    </row>
    <row r="138" spans="1:3" x14ac:dyDescent="0.35">
      <c r="A138" s="12">
        <v>45428</v>
      </c>
      <c r="B138" s="89">
        <f>MONTH(Table14[[#This Row],[Date]])</f>
        <v>5</v>
      </c>
      <c r="C138" s="89" t="str">
        <f>"S" &amp; WEEKNUM(Table14[[#This Row],[Date]])</f>
        <v>S20</v>
      </c>
    </row>
    <row r="139" spans="1:3" x14ac:dyDescent="0.35">
      <c r="A139" s="12">
        <v>45429</v>
      </c>
      <c r="B139" s="89">
        <f>MONTH(Table14[[#This Row],[Date]])</f>
        <v>5</v>
      </c>
      <c r="C139" s="89" t="str">
        <f>"S" &amp; WEEKNUM(Table14[[#This Row],[Date]])</f>
        <v>S20</v>
      </c>
    </row>
    <row r="140" spans="1:3" x14ac:dyDescent="0.35">
      <c r="A140" s="12">
        <v>45430</v>
      </c>
      <c r="B140" s="89">
        <f>MONTH(Table14[[#This Row],[Date]])</f>
        <v>5</v>
      </c>
      <c r="C140" s="89" t="str">
        <f>"S" &amp; WEEKNUM(Table14[[#This Row],[Date]])</f>
        <v>S20</v>
      </c>
    </row>
    <row r="141" spans="1:3" x14ac:dyDescent="0.35">
      <c r="A141" s="12">
        <v>45431</v>
      </c>
      <c r="B141" s="89">
        <f>MONTH(Table14[[#This Row],[Date]])</f>
        <v>5</v>
      </c>
      <c r="C141" s="89" t="str">
        <f>"S" &amp; WEEKNUM(Table14[[#This Row],[Date]])</f>
        <v>S21</v>
      </c>
    </row>
    <row r="142" spans="1:3" x14ac:dyDescent="0.35">
      <c r="A142" s="12">
        <v>45432</v>
      </c>
      <c r="B142" s="89">
        <f>MONTH(Table14[[#This Row],[Date]])</f>
        <v>5</v>
      </c>
      <c r="C142" s="89" t="str">
        <f>"S" &amp; WEEKNUM(Table14[[#This Row],[Date]])</f>
        <v>S21</v>
      </c>
    </row>
    <row r="143" spans="1:3" x14ac:dyDescent="0.35">
      <c r="A143" s="12">
        <v>45433</v>
      </c>
      <c r="B143" s="89">
        <f>MONTH(Table14[[#This Row],[Date]])</f>
        <v>5</v>
      </c>
      <c r="C143" s="89" t="str">
        <f>"S" &amp; WEEKNUM(Table14[[#This Row],[Date]])</f>
        <v>S21</v>
      </c>
    </row>
    <row r="144" spans="1:3" x14ac:dyDescent="0.35">
      <c r="A144" s="12">
        <v>45434</v>
      </c>
      <c r="B144" s="89">
        <f>MONTH(Table14[[#This Row],[Date]])</f>
        <v>5</v>
      </c>
      <c r="C144" s="89" t="str">
        <f>"S" &amp; WEEKNUM(Table14[[#This Row],[Date]])</f>
        <v>S21</v>
      </c>
    </row>
    <row r="145" spans="1:3" x14ac:dyDescent="0.35">
      <c r="A145" s="12">
        <v>45435</v>
      </c>
      <c r="B145" s="89">
        <f>MONTH(Table14[[#This Row],[Date]])</f>
        <v>5</v>
      </c>
      <c r="C145" s="89" t="str">
        <f>"S" &amp; WEEKNUM(Table14[[#This Row],[Date]])</f>
        <v>S21</v>
      </c>
    </row>
    <row r="146" spans="1:3" x14ac:dyDescent="0.35">
      <c r="A146" s="12">
        <v>45436</v>
      </c>
      <c r="B146" s="89">
        <f>MONTH(Table14[[#This Row],[Date]])</f>
        <v>5</v>
      </c>
      <c r="C146" s="89" t="str">
        <f>"S" &amp; WEEKNUM(Table14[[#This Row],[Date]])</f>
        <v>S21</v>
      </c>
    </row>
    <row r="147" spans="1:3" x14ac:dyDescent="0.35">
      <c r="A147" s="12">
        <v>45437</v>
      </c>
      <c r="B147" s="89">
        <f>MONTH(Table14[[#This Row],[Date]])</f>
        <v>5</v>
      </c>
      <c r="C147" s="89" t="str">
        <f>"S" &amp; WEEKNUM(Table14[[#This Row],[Date]])</f>
        <v>S21</v>
      </c>
    </row>
    <row r="148" spans="1:3" x14ac:dyDescent="0.35">
      <c r="A148" s="12">
        <v>45438</v>
      </c>
      <c r="B148" s="89">
        <f>MONTH(Table14[[#This Row],[Date]])</f>
        <v>5</v>
      </c>
      <c r="C148" s="89" t="str">
        <f>"S" &amp; WEEKNUM(Table14[[#This Row],[Date]])</f>
        <v>S22</v>
      </c>
    </row>
    <row r="149" spans="1:3" x14ac:dyDescent="0.35">
      <c r="A149" s="12">
        <v>45439</v>
      </c>
      <c r="B149" s="89">
        <f>MONTH(Table14[[#This Row],[Date]])</f>
        <v>5</v>
      </c>
      <c r="C149" s="89" t="str">
        <f>"S" &amp; WEEKNUM(Table14[[#This Row],[Date]])</f>
        <v>S22</v>
      </c>
    </row>
    <row r="150" spans="1:3" x14ac:dyDescent="0.35">
      <c r="A150" s="12">
        <v>45440</v>
      </c>
      <c r="B150" s="89">
        <f>MONTH(Table14[[#This Row],[Date]])</f>
        <v>5</v>
      </c>
      <c r="C150" s="89" t="str">
        <f>"S" &amp; WEEKNUM(Table14[[#This Row],[Date]])</f>
        <v>S22</v>
      </c>
    </row>
    <row r="151" spans="1:3" x14ac:dyDescent="0.35">
      <c r="A151" s="12">
        <v>45441</v>
      </c>
      <c r="B151" s="89">
        <f>MONTH(Table14[[#This Row],[Date]])</f>
        <v>5</v>
      </c>
      <c r="C151" s="89" t="str">
        <f>"S" &amp; WEEKNUM(Table14[[#This Row],[Date]])</f>
        <v>S22</v>
      </c>
    </row>
    <row r="152" spans="1:3" x14ac:dyDescent="0.35">
      <c r="A152" s="12">
        <v>45442</v>
      </c>
      <c r="B152" s="89">
        <f>MONTH(Table14[[#This Row],[Date]])</f>
        <v>5</v>
      </c>
      <c r="C152" s="89" t="str">
        <f>"S" &amp; WEEKNUM(Table14[[#This Row],[Date]])</f>
        <v>S22</v>
      </c>
    </row>
    <row r="153" spans="1:3" x14ac:dyDescent="0.35">
      <c r="A153" s="12">
        <v>45443</v>
      </c>
      <c r="B153" s="89">
        <f>MONTH(Table14[[#This Row],[Date]])</f>
        <v>5</v>
      </c>
      <c r="C153" s="89" t="str">
        <f>"S" &amp; WEEKNUM(Table14[[#This Row],[Date]])</f>
        <v>S22</v>
      </c>
    </row>
    <row r="154" spans="1:3" x14ac:dyDescent="0.35">
      <c r="A154" s="12">
        <v>45444</v>
      </c>
      <c r="B154" s="89">
        <f>MONTH(Table14[[#This Row],[Date]])</f>
        <v>6</v>
      </c>
      <c r="C154" s="89" t="str">
        <f>"S" &amp; WEEKNUM(Table14[[#This Row],[Date]])</f>
        <v>S22</v>
      </c>
    </row>
    <row r="155" spans="1:3" x14ac:dyDescent="0.35">
      <c r="A155" s="12">
        <v>45445</v>
      </c>
      <c r="B155" s="89">
        <f>MONTH(Table14[[#This Row],[Date]])</f>
        <v>6</v>
      </c>
      <c r="C155" s="89" t="str">
        <f>"S" &amp; WEEKNUM(Table14[[#This Row],[Date]])</f>
        <v>S23</v>
      </c>
    </row>
    <row r="156" spans="1:3" x14ac:dyDescent="0.35">
      <c r="A156" s="12">
        <v>45446</v>
      </c>
      <c r="B156" s="89">
        <f>MONTH(Table14[[#This Row],[Date]])</f>
        <v>6</v>
      </c>
      <c r="C156" s="89" t="str">
        <f>"S" &amp; WEEKNUM(Table14[[#This Row],[Date]])</f>
        <v>S23</v>
      </c>
    </row>
    <row r="157" spans="1:3" x14ac:dyDescent="0.35">
      <c r="A157" s="12">
        <v>45447</v>
      </c>
      <c r="B157" s="89">
        <f>MONTH(Table14[[#This Row],[Date]])</f>
        <v>6</v>
      </c>
      <c r="C157" s="89" t="str">
        <f>"S" &amp; WEEKNUM(Table14[[#This Row],[Date]])</f>
        <v>S23</v>
      </c>
    </row>
    <row r="158" spans="1:3" x14ac:dyDescent="0.35">
      <c r="A158" s="12">
        <v>45448</v>
      </c>
      <c r="B158" s="89">
        <f>MONTH(Table14[[#This Row],[Date]])</f>
        <v>6</v>
      </c>
      <c r="C158" s="89" t="str">
        <f>"S" &amp; WEEKNUM(Table14[[#This Row],[Date]])</f>
        <v>S23</v>
      </c>
    </row>
    <row r="159" spans="1:3" x14ac:dyDescent="0.35">
      <c r="A159" s="12">
        <v>45449</v>
      </c>
      <c r="B159" s="89">
        <f>MONTH(Table14[[#This Row],[Date]])</f>
        <v>6</v>
      </c>
      <c r="C159" s="89" t="str">
        <f>"S" &amp; WEEKNUM(Table14[[#This Row],[Date]])</f>
        <v>S23</v>
      </c>
    </row>
    <row r="160" spans="1:3" x14ac:dyDescent="0.35">
      <c r="A160" s="12">
        <v>45450</v>
      </c>
      <c r="B160" s="89">
        <f>MONTH(Table14[[#This Row],[Date]])</f>
        <v>6</v>
      </c>
      <c r="C160" s="89" t="str">
        <f>"S" &amp; WEEKNUM(Table14[[#This Row],[Date]])</f>
        <v>S23</v>
      </c>
    </row>
    <row r="161" spans="1:3" x14ac:dyDescent="0.35">
      <c r="A161" s="12">
        <v>45451</v>
      </c>
      <c r="B161" s="89">
        <f>MONTH(Table14[[#This Row],[Date]])</f>
        <v>6</v>
      </c>
      <c r="C161" s="89" t="str">
        <f>"S" &amp; WEEKNUM(Table14[[#This Row],[Date]])</f>
        <v>S23</v>
      </c>
    </row>
    <row r="162" spans="1:3" x14ac:dyDescent="0.35">
      <c r="A162" s="12">
        <v>45452</v>
      </c>
      <c r="B162" s="89">
        <f>MONTH(Table14[[#This Row],[Date]])</f>
        <v>6</v>
      </c>
      <c r="C162" s="89" t="str">
        <f>"S" &amp; WEEKNUM(Table14[[#This Row],[Date]])</f>
        <v>S24</v>
      </c>
    </row>
    <row r="163" spans="1:3" x14ac:dyDescent="0.35">
      <c r="A163" s="12">
        <v>45453</v>
      </c>
      <c r="B163" s="89">
        <f>MONTH(Table14[[#This Row],[Date]])</f>
        <v>6</v>
      </c>
      <c r="C163" s="89" t="str">
        <f>"S" &amp; WEEKNUM(Table14[[#This Row],[Date]])</f>
        <v>S24</v>
      </c>
    </row>
    <row r="164" spans="1:3" x14ac:dyDescent="0.35">
      <c r="A164" s="12">
        <v>45454</v>
      </c>
      <c r="B164" s="89">
        <f>MONTH(Table14[[#This Row],[Date]])</f>
        <v>6</v>
      </c>
      <c r="C164" s="89" t="str">
        <f>"S" &amp; WEEKNUM(Table14[[#This Row],[Date]])</f>
        <v>S24</v>
      </c>
    </row>
    <row r="165" spans="1:3" x14ac:dyDescent="0.35">
      <c r="A165" s="12">
        <v>45455</v>
      </c>
      <c r="B165" s="89">
        <f>MONTH(Table14[[#This Row],[Date]])</f>
        <v>6</v>
      </c>
      <c r="C165" s="89" t="str">
        <f>"S" &amp; WEEKNUM(Table14[[#This Row],[Date]])</f>
        <v>S24</v>
      </c>
    </row>
    <row r="166" spans="1:3" x14ac:dyDescent="0.35">
      <c r="A166" s="12">
        <v>45456</v>
      </c>
      <c r="B166" s="89">
        <f>MONTH(Table14[[#This Row],[Date]])</f>
        <v>6</v>
      </c>
      <c r="C166" s="89" t="str">
        <f>"S" &amp; WEEKNUM(Table14[[#This Row],[Date]])</f>
        <v>S24</v>
      </c>
    </row>
    <row r="167" spans="1:3" x14ac:dyDescent="0.35">
      <c r="A167" s="12">
        <v>45457</v>
      </c>
      <c r="B167" s="89">
        <f>MONTH(Table14[[#This Row],[Date]])</f>
        <v>6</v>
      </c>
      <c r="C167" s="89" t="str">
        <f>"S" &amp; WEEKNUM(Table14[[#This Row],[Date]])</f>
        <v>S24</v>
      </c>
    </row>
    <row r="168" spans="1:3" x14ac:dyDescent="0.35">
      <c r="A168" s="12">
        <v>45458</v>
      </c>
      <c r="B168" s="89">
        <f>MONTH(Table14[[#This Row],[Date]])</f>
        <v>6</v>
      </c>
      <c r="C168" s="89" t="str">
        <f>"S" &amp; WEEKNUM(Table14[[#This Row],[Date]])</f>
        <v>S24</v>
      </c>
    </row>
    <row r="169" spans="1:3" x14ac:dyDescent="0.35">
      <c r="A169" s="12">
        <v>45459</v>
      </c>
      <c r="B169" s="89">
        <f>MONTH(Table14[[#This Row],[Date]])</f>
        <v>6</v>
      </c>
      <c r="C169" s="89" t="str">
        <f>"S" &amp; WEEKNUM(Table14[[#This Row],[Date]])</f>
        <v>S25</v>
      </c>
    </row>
    <row r="170" spans="1:3" x14ac:dyDescent="0.35">
      <c r="A170" s="12">
        <v>45460</v>
      </c>
      <c r="B170" s="89">
        <f>MONTH(Table14[[#This Row],[Date]])</f>
        <v>6</v>
      </c>
      <c r="C170" s="89" t="str">
        <f>"S" &amp; WEEKNUM(Table14[[#This Row],[Date]])</f>
        <v>S25</v>
      </c>
    </row>
    <row r="171" spans="1:3" x14ac:dyDescent="0.35">
      <c r="A171" s="12">
        <v>45461</v>
      </c>
      <c r="B171" s="89">
        <f>MONTH(Table14[[#This Row],[Date]])</f>
        <v>6</v>
      </c>
      <c r="C171" s="89" t="str">
        <f>"S" &amp; WEEKNUM(Table14[[#This Row],[Date]])</f>
        <v>S25</v>
      </c>
    </row>
    <row r="172" spans="1:3" x14ac:dyDescent="0.35">
      <c r="A172" s="12">
        <v>45462</v>
      </c>
      <c r="B172" s="89">
        <f>MONTH(Table14[[#This Row],[Date]])</f>
        <v>6</v>
      </c>
      <c r="C172" s="89" t="str">
        <f>"S" &amp; WEEKNUM(Table14[[#This Row],[Date]])</f>
        <v>S25</v>
      </c>
    </row>
    <row r="173" spans="1:3" x14ac:dyDescent="0.35">
      <c r="A173" s="12">
        <v>45463</v>
      </c>
      <c r="B173" s="89">
        <f>MONTH(Table14[[#This Row],[Date]])</f>
        <v>6</v>
      </c>
      <c r="C173" s="89" t="str">
        <f>"S" &amp; WEEKNUM(Table14[[#This Row],[Date]])</f>
        <v>S25</v>
      </c>
    </row>
    <row r="174" spans="1:3" x14ac:dyDescent="0.35">
      <c r="A174" s="12">
        <v>45464</v>
      </c>
      <c r="B174" s="89">
        <f>MONTH(Table14[[#This Row],[Date]])</f>
        <v>6</v>
      </c>
      <c r="C174" s="89" t="str">
        <f>"S" &amp; WEEKNUM(Table14[[#This Row],[Date]])</f>
        <v>S25</v>
      </c>
    </row>
    <row r="175" spans="1:3" x14ac:dyDescent="0.35">
      <c r="A175" s="12">
        <v>45465</v>
      </c>
      <c r="B175" s="89">
        <f>MONTH(Table14[[#This Row],[Date]])</f>
        <v>6</v>
      </c>
      <c r="C175" s="89" t="str">
        <f>"S" &amp; WEEKNUM(Table14[[#This Row],[Date]])</f>
        <v>S25</v>
      </c>
    </row>
    <row r="176" spans="1:3" x14ac:dyDescent="0.35">
      <c r="A176" s="12">
        <v>45466</v>
      </c>
      <c r="B176" s="89">
        <f>MONTH(Table14[[#This Row],[Date]])</f>
        <v>6</v>
      </c>
      <c r="C176" s="89" t="str">
        <f>"S" &amp; WEEKNUM(Table14[[#This Row],[Date]])</f>
        <v>S26</v>
      </c>
    </row>
    <row r="177" spans="1:3" x14ac:dyDescent="0.35">
      <c r="A177" s="12">
        <v>45467</v>
      </c>
      <c r="B177" s="89">
        <f>MONTH(Table14[[#This Row],[Date]])</f>
        <v>6</v>
      </c>
      <c r="C177" s="89" t="str">
        <f>"S" &amp; WEEKNUM(Table14[[#This Row],[Date]])</f>
        <v>S26</v>
      </c>
    </row>
    <row r="178" spans="1:3" x14ac:dyDescent="0.35">
      <c r="A178" s="12">
        <v>45468</v>
      </c>
      <c r="B178" s="89">
        <f>MONTH(Table14[[#This Row],[Date]])</f>
        <v>6</v>
      </c>
      <c r="C178" s="89" t="str">
        <f>"S" &amp; WEEKNUM(Table14[[#This Row],[Date]])</f>
        <v>S26</v>
      </c>
    </row>
    <row r="179" spans="1:3" x14ac:dyDescent="0.35">
      <c r="A179" s="12">
        <v>45469</v>
      </c>
      <c r="B179" s="89">
        <f>MONTH(Table14[[#This Row],[Date]])</f>
        <v>6</v>
      </c>
      <c r="C179" s="89" t="str">
        <f>"S" &amp; WEEKNUM(Table14[[#This Row],[Date]])</f>
        <v>S26</v>
      </c>
    </row>
    <row r="180" spans="1:3" x14ac:dyDescent="0.35">
      <c r="A180" s="12">
        <v>45470</v>
      </c>
      <c r="B180" s="89">
        <f>MONTH(Table14[[#This Row],[Date]])</f>
        <v>6</v>
      </c>
      <c r="C180" s="89" t="str">
        <f>"S" &amp; WEEKNUM(Table14[[#This Row],[Date]])</f>
        <v>S26</v>
      </c>
    </row>
    <row r="181" spans="1:3" x14ac:dyDescent="0.35">
      <c r="A181" s="12">
        <v>45471</v>
      </c>
      <c r="B181" s="89">
        <f>MONTH(Table14[[#This Row],[Date]])</f>
        <v>6</v>
      </c>
      <c r="C181" s="89" t="str">
        <f>"S" &amp; WEEKNUM(Table14[[#This Row],[Date]])</f>
        <v>S26</v>
      </c>
    </row>
    <row r="182" spans="1:3" x14ac:dyDescent="0.35">
      <c r="A182" s="12">
        <v>45472</v>
      </c>
      <c r="B182" s="89">
        <f>MONTH(Table14[[#This Row],[Date]])</f>
        <v>6</v>
      </c>
      <c r="C182" s="89" t="str">
        <f>"S" &amp; WEEKNUM(Table14[[#This Row],[Date]])</f>
        <v>S26</v>
      </c>
    </row>
    <row r="183" spans="1:3" x14ac:dyDescent="0.35">
      <c r="A183" s="12">
        <v>45473</v>
      </c>
      <c r="B183" s="89">
        <f>MONTH(Table14[[#This Row],[Date]])</f>
        <v>6</v>
      </c>
      <c r="C183" s="89" t="str">
        <f>"S" &amp; WEEKNUM(Table14[[#This Row],[Date]])</f>
        <v>S27</v>
      </c>
    </row>
    <row r="184" spans="1:3" x14ac:dyDescent="0.35">
      <c r="A184" s="12">
        <v>45474</v>
      </c>
      <c r="B184" s="89">
        <f>MONTH(Table14[[#This Row],[Date]])</f>
        <v>7</v>
      </c>
      <c r="C184" s="89" t="str">
        <f>"S" &amp; WEEKNUM(Table14[[#This Row],[Date]])</f>
        <v>S27</v>
      </c>
    </row>
    <row r="185" spans="1:3" x14ac:dyDescent="0.35">
      <c r="A185" s="12">
        <v>45475</v>
      </c>
      <c r="B185" s="89">
        <f>MONTH(Table14[[#This Row],[Date]])</f>
        <v>7</v>
      </c>
      <c r="C185" s="89" t="str">
        <f>"S" &amp; WEEKNUM(Table14[[#This Row],[Date]])</f>
        <v>S27</v>
      </c>
    </row>
    <row r="186" spans="1:3" x14ac:dyDescent="0.35">
      <c r="A186" s="12">
        <v>45476</v>
      </c>
      <c r="B186" s="89">
        <f>MONTH(Table14[[#This Row],[Date]])</f>
        <v>7</v>
      </c>
      <c r="C186" s="89" t="str">
        <f>"S" &amp; WEEKNUM(Table14[[#This Row],[Date]])</f>
        <v>S27</v>
      </c>
    </row>
    <row r="187" spans="1:3" x14ac:dyDescent="0.35">
      <c r="A187" s="12">
        <v>45477</v>
      </c>
      <c r="B187" s="89">
        <f>MONTH(Table14[[#This Row],[Date]])</f>
        <v>7</v>
      </c>
      <c r="C187" s="89" t="str">
        <f>"S" &amp; WEEKNUM(Table14[[#This Row],[Date]])</f>
        <v>S27</v>
      </c>
    </row>
    <row r="188" spans="1:3" x14ac:dyDescent="0.35">
      <c r="A188" s="12">
        <v>45478</v>
      </c>
      <c r="B188" s="89">
        <f>MONTH(Table14[[#This Row],[Date]])</f>
        <v>7</v>
      </c>
      <c r="C188" s="89" t="str">
        <f>"S" &amp; WEEKNUM(Table14[[#This Row],[Date]])</f>
        <v>S27</v>
      </c>
    </row>
    <row r="189" spans="1:3" x14ac:dyDescent="0.35">
      <c r="A189" s="12">
        <v>45479</v>
      </c>
      <c r="B189" s="89">
        <f>MONTH(Table14[[#This Row],[Date]])</f>
        <v>7</v>
      </c>
      <c r="C189" s="89" t="str">
        <f>"S" &amp; WEEKNUM(Table14[[#This Row],[Date]])</f>
        <v>S27</v>
      </c>
    </row>
    <row r="190" spans="1:3" x14ac:dyDescent="0.35">
      <c r="A190" s="12">
        <v>45480</v>
      </c>
      <c r="B190" s="89">
        <f>MONTH(Table14[[#This Row],[Date]])</f>
        <v>7</v>
      </c>
      <c r="C190" s="89" t="str">
        <f>"S" &amp; WEEKNUM(Table14[[#This Row],[Date]])</f>
        <v>S28</v>
      </c>
    </row>
    <row r="191" spans="1:3" x14ac:dyDescent="0.35">
      <c r="A191" s="12">
        <v>45481</v>
      </c>
      <c r="B191" s="89">
        <f>MONTH(Table14[[#This Row],[Date]])</f>
        <v>7</v>
      </c>
      <c r="C191" s="89" t="str">
        <f>"S" &amp; WEEKNUM(Table14[[#This Row],[Date]])</f>
        <v>S28</v>
      </c>
    </row>
    <row r="192" spans="1:3" x14ac:dyDescent="0.35">
      <c r="A192" s="12">
        <v>45482</v>
      </c>
      <c r="B192" s="89">
        <f>MONTH(Table14[[#This Row],[Date]])</f>
        <v>7</v>
      </c>
      <c r="C192" s="89" t="str">
        <f>"S" &amp; WEEKNUM(Table14[[#This Row],[Date]])</f>
        <v>S28</v>
      </c>
    </row>
    <row r="193" spans="1:3" x14ac:dyDescent="0.35">
      <c r="A193" s="12">
        <v>45483</v>
      </c>
      <c r="B193" s="89">
        <f>MONTH(Table14[[#This Row],[Date]])</f>
        <v>7</v>
      </c>
      <c r="C193" s="89" t="str">
        <f>"S" &amp; WEEKNUM(Table14[[#This Row],[Date]])</f>
        <v>S28</v>
      </c>
    </row>
    <row r="194" spans="1:3" x14ac:dyDescent="0.35">
      <c r="A194" s="12">
        <v>45484</v>
      </c>
      <c r="B194" s="89">
        <f>MONTH(Table14[[#This Row],[Date]])</f>
        <v>7</v>
      </c>
      <c r="C194" s="89" t="str">
        <f>"S" &amp; WEEKNUM(Table14[[#This Row],[Date]])</f>
        <v>S28</v>
      </c>
    </row>
    <row r="195" spans="1:3" x14ac:dyDescent="0.35">
      <c r="A195" s="12">
        <v>45485</v>
      </c>
      <c r="B195" s="89">
        <f>MONTH(Table14[[#This Row],[Date]])</f>
        <v>7</v>
      </c>
      <c r="C195" s="89" t="str">
        <f>"S" &amp; WEEKNUM(Table14[[#This Row],[Date]])</f>
        <v>S28</v>
      </c>
    </row>
    <row r="196" spans="1:3" x14ac:dyDescent="0.35">
      <c r="A196" s="12">
        <v>45486</v>
      </c>
      <c r="B196" s="89">
        <f>MONTH(Table14[[#This Row],[Date]])</f>
        <v>7</v>
      </c>
      <c r="C196" s="89" t="str">
        <f>"S" &amp; WEEKNUM(Table14[[#This Row],[Date]])</f>
        <v>S28</v>
      </c>
    </row>
    <row r="197" spans="1:3" x14ac:dyDescent="0.35">
      <c r="A197" s="12">
        <v>45487</v>
      </c>
      <c r="B197" s="89">
        <f>MONTH(Table14[[#This Row],[Date]])</f>
        <v>7</v>
      </c>
      <c r="C197" s="89" t="str">
        <f>"S" &amp; WEEKNUM(Table14[[#This Row],[Date]])</f>
        <v>S29</v>
      </c>
    </row>
    <row r="198" spans="1:3" x14ac:dyDescent="0.35">
      <c r="A198" s="12">
        <v>45488</v>
      </c>
      <c r="B198" s="89">
        <f>MONTH(Table14[[#This Row],[Date]])</f>
        <v>7</v>
      </c>
      <c r="C198" s="89" t="str">
        <f>"S" &amp; WEEKNUM(Table14[[#This Row],[Date]])</f>
        <v>S29</v>
      </c>
    </row>
    <row r="199" spans="1:3" x14ac:dyDescent="0.35">
      <c r="A199" s="12">
        <v>45489</v>
      </c>
      <c r="B199" s="89">
        <f>MONTH(Table14[[#This Row],[Date]])</f>
        <v>7</v>
      </c>
      <c r="C199" s="89" t="str">
        <f>"S" &amp; WEEKNUM(Table14[[#This Row],[Date]])</f>
        <v>S29</v>
      </c>
    </row>
    <row r="200" spans="1:3" x14ac:dyDescent="0.35">
      <c r="A200" s="12">
        <v>45490</v>
      </c>
      <c r="B200" s="89">
        <f>MONTH(Table14[[#This Row],[Date]])</f>
        <v>7</v>
      </c>
      <c r="C200" s="89" t="str">
        <f>"S" &amp; WEEKNUM(Table14[[#This Row],[Date]])</f>
        <v>S29</v>
      </c>
    </row>
    <row r="201" spans="1:3" x14ac:dyDescent="0.35">
      <c r="A201" s="12">
        <v>45491</v>
      </c>
      <c r="B201" s="89">
        <f>MONTH(Table14[[#This Row],[Date]])</f>
        <v>7</v>
      </c>
      <c r="C201" s="89" t="str">
        <f>"S" &amp; WEEKNUM(Table14[[#This Row],[Date]])</f>
        <v>S29</v>
      </c>
    </row>
    <row r="202" spans="1:3" x14ac:dyDescent="0.35">
      <c r="A202" s="12">
        <v>45492</v>
      </c>
      <c r="B202" s="89">
        <f>MONTH(Table14[[#This Row],[Date]])</f>
        <v>7</v>
      </c>
      <c r="C202" s="89" t="str">
        <f>"S" &amp; WEEKNUM(Table14[[#This Row],[Date]])</f>
        <v>S29</v>
      </c>
    </row>
    <row r="203" spans="1:3" x14ac:dyDescent="0.35">
      <c r="A203" s="12">
        <v>45493</v>
      </c>
      <c r="B203" s="89">
        <f>MONTH(Table14[[#This Row],[Date]])</f>
        <v>7</v>
      </c>
      <c r="C203" s="89" t="str">
        <f>"S" &amp; WEEKNUM(Table14[[#This Row],[Date]])</f>
        <v>S29</v>
      </c>
    </row>
    <row r="204" spans="1:3" x14ac:dyDescent="0.35">
      <c r="A204" s="12">
        <v>45494</v>
      </c>
      <c r="B204" s="89">
        <f>MONTH(Table14[[#This Row],[Date]])</f>
        <v>7</v>
      </c>
      <c r="C204" s="89" t="str">
        <f>"S" &amp; WEEKNUM(Table14[[#This Row],[Date]])</f>
        <v>S30</v>
      </c>
    </row>
    <row r="205" spans="1:3" x14ac:dyDescent="0.35">
      <c r="A205" s="12">
        <v>45495</v>
      </c>
      <c r="B205" s="89">
        <f>MONTH(Table14[[#This Row],[Date]])</f>
        <v>7</v>
      </c>
      <c r="C205" s="89" t="str">
        <f>"S" &amp; WEEKNUM(Table14[[#This Row],[Date]])</f>
        <v>S30</v>
      </c>
    </row>
    <row r="206" spans="1:3" x14ac:dyDescent="0.35">
      <c r="A206" s="12">
        <v>45496</v>
      </c>
      <c r="B206" s="89">
        <f>MONTH(Table14[[#This Row],[Date]])</f>
        <v>7</v>
      </c>
      <c r="C206" s="89" t="str">
        <f>"S" &amp; WEEKNUM(Table14[[#This Row],[Date]])</f>
        <v>S30</v>
      </c>
    </row>
    <row r="207" spans="1:3" x14ac:dyDescent="0.35">
      <c r="A207" s="12">
        <v>45497</v>
      </c>
      <c r="B207" s="89">
        <f>MONTH(Table14[[#This Row],[Date]])</f>
        <v>7</v>
      </c>
      <c r="C207" s="89" t="str">
        <f>"S" &amp; WEEKNUM(Table14[[#This Row],[Date]])</f>
        <v>S30</v>
      </c>
    </row>
    <row r="208" spans="1:3" x14ac:dyDescent="0.35">
      <c r="A208" s="12">
        <v>45498</v>
      </c>
      <c r="B208" s="89">
        <f>MONTH(Table14[[#This Row],[Date]])</f>
        <v>7</v>
      </c>
      <c r="C208" s="89" t="str">
        <f>"S" &amp; WEEKNUM(Table14[[#This Row],[Date]])</f>
        <v>S30</v>
      </c>
    </row>
    <row r="209" spans="1:3" x14ac:dyDescent="0.35">
      <c r="A209" s="12">
        <v>45499</v>
      </c>
      <c r="B209" s="89">
        <f>MONTH(Table14[[#This Row],[Date]])</f>
        <v>7</v>
      </c>
      <c r="C209" s="89" t="str">
        <f>"S" &amp; WEEKNUM(Table14[[#This Row],[Date]])</f>
        <v>S30</v>
      </c>
    </row>
    <row r="210" spans="1:3" x14ac:dyDescent="0.35">
      <c r="A210" s="12">
        <v>45500</v>
      </c>
      <c r="B210" s="89">
        <f>MONTH(Table14[[#This Row],[Date]])</f>
        <v>7</v>
      </c>
      <c r="C210" s="89" t="str">
        <f>"S" &amp; WEEKNUM(Table14[[#This Row],[Date]])</f>
        <v>S30</v>
      </c>
    </row>
    <row r="211" spans="1:3" x14ac:dyDescent="0.35">
      <c r="A211" s="12">
        <v>45501</v>
      </c>
      <c r="B211" s="89">
        <f>MONTH(Table14[[#This Row],[Date]])</f>
        <v>7</v>
      </c>
      <c r="C211" s="89" t="str">
        <f>"S" &amp; WEEKNUM(Table14[[#This Row],[Date]])</f>
        <v>S31</v>
      </c>
    </row>
    <row r="212" spans="1:3" x14ac:dyDescent="0.35">
      <c r="A212" s="12">
        <v>45502</v>
      </c>
      <c r="B212" s="89">
        <f>MONTH(Table14[[#This Row],[Date]])</f>
        <v>7</v>
      </c>
      <c r="C212" s="89" t="str">
        <f>"S" &amp; WEEKNUM(Table14[[#This Row],[Date]])</f>
        <v>S31</v>
      </c>
    </row>
    <row r="213" spans="1:3" x14ac:dyDescent="0.35">
      <c r="A213" s="12">
        <v>45503</v>
      </c>
      <c r="B213" s="89">
        <f>MONTH(Table14[[#This Row],[Date]])</f>
        <v>7</v>
      </c>
      <c r="C213" s="89" t="str">
        <f>"S" &amp; WEEKNUM(Table14[[#This Row],[Date]])</f>
        <v>S31</v>
      </c>
    </row>
    <row r="214" spans="1:3" x14ac:dyDescent="0.35">
      <c r="A214" s="12">
        <v>45504</v>
      </c>
      <c r="B214" s="89">
        <f>MONTH(Table14[[#This Row],[Date]])</f>
        <v>7</v>
      </c>
      <c r="C214" s="89" t="str">
        <f>"S" &amp; WEEKNUM(Table14[[#This Row],[Date]])</f>
        <v>S31</v>
      </c>
    </row>
    <row r="215" spans="1:3" x14ac:dyDescent="0.35">
      <c r="A215" s="12">
        <v>45505</v>
      </c>
      <c r="B215" s="89">
        <f>MONTH(Table14[[#This Row],[Date]])</f>
        <v>8</v>
      </c>
      <c r="C215" s="89" t="str">
        <f>"S" &amp; WEEKNUM(Table14[[#This Row],[Date]])</f>
        <v>S31</v>
      </c>
    </row>
    <row r="216" spans="1:3" x14ac:dyDescent="0.35">
      <c r="A216" s="12">
        <v>45506</v>
      </c>
      <c r="B216" s="89">
        <f>MONTH(Table14[[#This Row],[Date]])</f>
        <v>8</v>
      </c>
      <c r="C216" s="89" t="str">
        <f>"S" &amp; WEEKNUM(Table14[[#This Row],[Date]])</f>
        <v>S31</v>
      </c>
    </row>
    <row r="217" spans="1:3" x14ac:dyDescent="0.35">
      <c r="A217" s="12">
        <v>45507</v>
      </c>
      <c r="B217" s="89">
        <f>MONTH(Table14[[#This Row],[Date]])</f>
        <v>8</v>
      </c>
      <c r="C217" s="89" t="str">
        <f>"S" &amp; WEEKNUM(Table14[[#This Row],[Date]])</f>
        <v>S31</v>
      </c>
    </row>
    <row r="218" spans="1:3" x14ac:dyDescent="0.35">
      <c r="A218" s="12">
        <v>45508</v>
      </c>
      <c r="B218" s="89">
        <f>MONTH(Table14[[#This Row],[Date]])</f>
        <v>8</v>
      </c>
      <c r="C218" s="89" t="str">
        <f>"S" &amp; WEEKNUM(Table14[[#This Row],[Date]])</f>
        <v>S32</v>
      </c>
    </row>
    <row r="219" spans="1:3" x14ac:dyDescent="0.35">
      <c r="A219" s="12">
        <v>45509</v>
      </c>
      <c r="B219" s="89">
        <f>MONTH(Table14[[#This Row],[Date]])</f>
        <v>8</v>
      </c>
      <c r="C219" s="89" t="str">
        <f>"S" &amp; WEEKNUM(Table14[[#This Row],[Date]])</f>
        <v>S32</v>
      </c>
    </row>
    <row r="220" spans="1:3" x14ac:dyDescent="0.35">
      <c r="A220" s="12">
        <v>45510</v>
      </c>
      <c r="B220" s="89">
        <f>MONTH(Table14[[#This Row],[Date]])</f>
        <v>8</v>
      </c>
      <c r="C220" s="89" t="str">
        <f>"S" &amp; WEEKNUM(Table14[[#This Row],[Date]])</f>
        <v>S32</v>
      </c>
    </row>
    <row r="221" spans="1:3" x14ac:dyDescent="0.35">
      <c r="A221" s="12">
        <v>45511</v>
      </c>
      <c r="B221" s="89">
        <f>MONTH(Table14[[#This Row],[Date]])</f>
        <v>8</v>
      </c>
      <c r="C221" s="89" t="str">
        <f>"S" &amp; WEEKNUM(Table14[[#This Row],[Date]])</f>
        <v>S32</v>
      </c>
    </row>
    <row r="222" spans="1:3" x14ac:dyDescent="0.35">
      <c r="A222" s="12">
        <v>45512</v>
      </c>
      <c r="B222" s="89">
        <f>MONTH(Table14[[#This Row],[Date]])</f>
        <v>8</v>
      </c>
      <c r="C222" s="89" t="str">
        <f>"S" &amp; WEEKNUM(Table14[[#This Row],[Date]])</f>
        <v>S32</v>
      </c>
    </row>
    <row r="223" spans="1:3" x14ac:dyDescent="0.35">
      <c r="A223" s="12">
        <v>45513</v>
      </c>
      <c r="B223" s="89">
        <f>MONTH(Table14[[#This Row],[Date]])</f>
        <v>8</v>
      </c>
      <c r="C223" s="89" t="str">
        <f>"S" &amp; WEEKNUM(Table14[[#This Row],[Date]])</f>
        <v>S32</v>
      </c>
    </row>
    <row r="224" spans="1:3" x14ac:dyDescent="0.35">
      <c r="A224" s="12">
        <v>45514</v>
      </c>
      <c r="B224" s="89">
        <f>MONTH(Table14[[#This Row],[Date]])</f>
        <v>8</v>
      </c>
      <c r="C224" s="89" t="str">
        <f>"S" &amp; WEEKNUM(Table14[[#This Row],[Date]])</f>
        <v>S32</v>
      </c>
    </row>
    <row r="225" spans="1:3" x14ac:dyDescent="0.35">
      <c r="A225" s="12">
        <v>45515</v>
      </c>
      <c r="B225" s="89">
        <f>MONTH(Table14[[#This Row],[Date]])</f>
        <v>8</v>
      </c>
      <c r="C225" s="89" t="str">
        <f>"S" &amp; WEEKNUM(Table14[[#This Row],[Date]])</f>
        <v>S33</v>
      </c>
    </row>
    <row r="226" spans="1:3" x14ac:dyDescent="0.35">
      <c r="A226" s="12">
        <v>45516</v>
      </c>
      <c r="B226" s="89">
        <f>MONTH(Table14[[#This Row],[Date]])</f>
        <v>8</v>
      </c>
      <c r="C226" s="89" t="str">
        <f>"S" &amp; WEEKNUM(Table14[[#This Row],[Date]])</f>
        <v>S33</v>
      </c>
    </row>
    <row r="227" spans="1:3" x14ac:dyDescent="0.35">
      <c r="A227" s="12">
        <v>45517</v>
      </c>
      <c r="B227" s="89">
        <f>MONTH(Table14[[#This Row],[Date]])</f>
        <v>8</v>
      </c>
      <c r="C227" s="89" t="str">
        <f>"S" &amp; WEEKNUM(Table14[[#This Row],[Date]])</f>
        <v>S33</v>
      </c>
    </row>
    <row r="228" spans="1:3" x14ac:dyDescent="0.35">
      <c r="A228" s="12">
        <v>45518</v>
      </c>
      <c r="B228" s="89">
        <f>MONTH(Table14[[#This Row],[Date]])</f>
        <v>8</v>
      </c>
      <c r="C228" s="89" t="str">
        <f>"S" &amp; WEEKNUM(Table14[[#This Row],[Date]])</f>
        <v>S33</v>
      </c>
    </row>
    <row r="229" spans="1:3" x14ac:dyDescent="0.35">
      <c r="A229" s="12">
        <v>45519</v>
      </c>
      <c r="B229" s="89">
        <f>MONTH(Table14[[#This Row],[Date]])</f>
        <v>8</v>
      </c>
      <c r="C229" s="89" t="str">
        <f>"S" &amp; WEEKNUM(Table14[[#This Row],[Date]])</f>
        <v>S33</v>
      </c>
    </row>
    <row r="230" spans="1:3" x14ac:dyDescent="0.35">
      <c r="A230" s="12">
        <v>45520</v>
      </c>
      <c r="B230" s="89">
        <f>MONTH(Table14[[#This Row],[Date]])</f>
        <v>8</v>
      </c>
      <c r="C230" s="89" t="str">
        <f>"S" &amp; WEEKNUM(Table14[[#This Row],[Date]])</f>
        <v>S33</v>
      </c>
    </row>
    <row r="231" spans="1:3" x14ac:dyDescent="0.35">
      <c r="A231" s="12">
        <v>45521</v>
      </c>
      <c r="B231" s="89">
        <f>MONTH(Table14[[#This Row],[Date]])</f>
        <v>8</v>
      </c>
      <c r="C231" s="89" t="str">
        <f>"S" &amp; WEEKNUM(Table14[[#This Row],[Date]])</f>
        <v>S33</v>
      </c>
    </row>
    <row r="232" spans="1:3" x14ac:dyDescent="0.35">
      <c r="A232" s="12">
        <v>45522</v>
      </c>
      <c r="B232" s="89">
        <f>MONTH(Table14[[#This Row],[Date]])</f>
        <v>8</v>
      </c>
      <c r="C232" s="89" t="str">
        <f>"S" &amp; WEEKNUM(Table14[[#This Row],[Date]])</f>
        <v>S34</v>
      </c>
    </row>
    <row r="233" spans="1:3" x14ac:dyDescent="0.35">
      <c r="A233" s="12">
        <v>45523</v>
      </c>
      <c r="B233" s="89">
        <f>MONTH(Table14[[#This Row],[Date]])</f>
        <v>8</v>
      </c>
      <c r="C233" s="89" t="str">
        <f>"S" &amp; WEEKNUM(Table14[[#This Row],[Date]])</f>
        <v>S34</v>
      </c>
    </row>
    <row r="234" spans="1:3" x14ac:dyDescent="0.35">
      <c r="A234" s="12">
        <v>45524</v>
      </c>
      <c r="B234" s="89">
        <f>MONTH(Table14[[#This Row],[Date]])</f>
        <v>8</v>
      </c>
      <c r="C234" s="89" t="str">
        <f>"S" &amp; WEEKNUM(Table14[[#This Row],[Date]])</f>
        <v>S34</v>
      </c>
    </row>
    <row r="235" spans="1:3" x14ac:dyDescent="0.35">
      <c r="A235" s="12">
        <v>45525</v>
      </c>
      <c r="B235" s="89">
        <f>MONTH(Table14[[#This Row],[Date]])</f>
        <v>8</v>
      </c>
      <c r="C235" s="89" t="str">
        <f>"S" &amp; WEEKNUM(Table14[[#This Row],[Date]])</f>
        <v>S34</v>
      </c>
    </row>
    <row r="236" spans="1:3" x14ac:dyDescent="0.35">
      <c r="A236" s="12">
        <v>45526</v>
      </c>
      <c r="B236" s="89">
        <f>MONTH(Table14[[#This Row],[Date]])</f>
        <v>8</v>
      </c>
      <c r="C236" s="89" t="str">
        <f>"S" &amp; WEEKNUM(Table14[[#This Row],[Date]])</f>
        <v>S34</v>
      </c>
    </row>
    <row r="237" spans="1:3" x14ac:dyDescent="0.35">
      <c r="A237" s="12">
        <v>45527</v>
      </c>
      <c r="B237" s="89">
        <f>MONTH(Table14[[#This Row],[Date]])</f>
        <v>8</v>
      </c>
      <c r="C237" s="89" t="str">
        <f>"S" &amp; WEEKNUM(Table14[[#This Row],[Date]])</f>
        <v>S34</v>
      </c>
    </row>
    <row r="238" spans="1:3" x14ac:dyDescent="0.35">
      <c r="A238" s="12">
        <v>45528</v>
      </c>
      <c r="B238" s="89">
        <f>MONTH(Table14[[#This Row],[Date]])</f>
        <v>8</v>
      </c>
      <c r="C238" s="89" t="str">
        <f>"S" &amp; WEEKNUM(Table14[[#This Row],[Date]])</f>
        <v>S34</v>
      </c>
    </row>
    <row r="239" spans="1:3" x14ac:dyDescent="0.35">
      <c r="A239" s="12">
        <v>45529</v>
      </c>
      <c r="B239" s="89">
        <f>MONTH(Table14[[#This Row],[Date]])</f>
        <v>8</v>
      </c>
      <c r="C239" s="89" t="str">
        <f>"S" &amp; WEEKNUM(Table14[[#This Row],[Date]])</f>
        <v>S35</v>
      </c>
    </row>
    <row r="240" spans="1:3" x14ac:dyDescent="0.35">
      <c r="A240" s="12">
        <v>45530</v>
      </c>
      <c r="B240" s="89">
        <f>MONTH(Table14[[#This Row],[Date]])</f>
        <v>8</v>
      </c>
      <c r="C240" s="89" t="str">
        <f>"S" &amp; WEEKNUM(Table14[[#This Row],[Date]])</f>
        <v>S35</v>
      </c>
    </row>
    <row r="241" spans="1:3" x14ac:dyDescent="0.35">
      <c r="A241" s="12">
        <v>45531</v>
      </c>
      <c r="B241" s="89">
        <f>MONTH(Table14[[#This Row],[Date]])</f>
        <v>8</v>
      </c>
      <c r="C241" s="89" t="str">
        <f>"S" &amp; WEEKNUM(Table14[[#This Row],[Date]])</f>
        <v>S35</v>
      </c>
    </row>
    <row r="242" spans="1:3" x14ac:dyDescent="0.35">
      <c r="A242" s="12">
        <v>45532</v>
      </c>
      <c r="B242" s="89">
        <f>MONTH(Table14[[#This Row],[Date]])</f>
        <v>8</v>
      </c>
      <c r="C242" s="89" t="str">
        <f>"S" &amp; WEEKNUM(Table14[[#This Row],[Date]])</f>
        <v>S35</v>
      </c>
    </row>
    <row r="243" spans="1:3" x14ac:dyDescent="0.35">
      <c r="A243" s="12">
        <v>45533</v>
      </c>
      <c r="B243" s="89">
        <f>MONTH(Table14[[#This Row],[Date]])</f>
        <v>8</v>
      </c>
      <c r="C243" s="89" t="str">
        <f>"S" &amp; WEEKNUM(Table14[[#This Row],[Date]])</f>
        <v>S35</v>
      </c>
    </row>
    <row r="244" spans="1:3" x14ac:dyDescent="0.35">
      <c r="A244" s="12">
        <v>45534</v>
      </c>
      <c r="B244" s="89">
        <f>MONTH(Table14[[#This Row],[Date]])</f>
        <v>8</v>
      </c>
      <c r="C244" s="89" t="str">
        <f>"S" &amp; WEEKNUM(Table14[[#This Row],[Date]])</f>
        <v>S35</v>
      </c>
    </row>
    <row r="245" spans="1:3" x14ac:dyDescent="0.35">
      <c r="A245" s="12">
        <v>45535</v>
      </c>
      <c r="B245" s="89">
        <f>MONTH(Table14[[#This Row],[Date]])</f>
        <v>8</v>
      </c>
      <c r="C245" s="89" t="str">
        <f>"S" &amp; WEEKNUM(Table14[[#This Row],[Date]])</f>
        <v>S35</v>
      </c>
    </row>
    <row r="246" spans="1:3" x14ac:dyDescent="0.35">
      <c r="A246" s="12">
        <v>45536</v>
      </c>
      <c r="B246" s="89">
        <f>MONTH(Table14[[#This Row],[Date]])</f>
        <v>9</v>
      </c>
      <c r="C246" s="89" t="str">
        <f>"S" &amp; WEEKNUM(Table14[[#This Row],[Date]])</f>
        <v>S36</v>
      </c>
    </row>
    <row r="247" spans="1:3" x14ac:dyDescent="0.35">
      <c r="A247" s="12">
        <v>45537</v>
      </c>
      <c r="B247" s="89">
        <f>MONTH(Table14[[#This Row],[Date]])</f>
        <v>9</v>
      </c>
      <c r="C247" s="89" t="str">
        <f>"S" &amp; WEEKNUM(Table14[[#This Row],[Date]])</f>
        <v>S36</v>
      </c>
    </row>
    <row r="248" spans="1:3" x14ac:dyDescent="0.35">
      <c r="A248" s="12">
        <v>45538</v>
      </c>
      <c r="B248" s="89">
        <f>MONTH(Table14[[#This Row],[Date]])</f>
        <v>9</v>
      </c>
      <c r="C248" s="89" t="str">
        <f>"S" &amp; WEEKNUM(Table14[[#This Row],[Date]])</f>
        <v>S36</v>
      </c>
    </row>
    <row r="249" spans="1:3" x14ac:dyDescent="0.35">
      <c r="A249" s="12">
        <v>45539</v>
      </c>
      <c r="B249" s="89">
        <f>MONTH(Table14[[#This Row],[Date]])</f>
        <v>9</v>
      </c>
      <c r="C249" s="89" t="str">
        <f>"S" &amp; WEEKNUM(Table14[[#This Row],[Date]])</f>
        <v>S36</v>
      </c>
    </row>
    <row r="250" spans="1:3" x14ac:dyDescent="0.35">
      <c r="A250" s="12">
        <v>45540</v>
      </c>
      <c r="B250" s="89">
        <f>MONTH(Table14[[#This Row],[Date]])</f>
        <v>9</v>
      </c>
      <c r="C250" s="89" t="str">
        <f>"S" &amp; WEEKNUM(Table14[[#This Row],[Date]])</f>
        <v>S36</v>
      </c>
    </row>
    <row r="251" spans="1:3" x14ac:dyDescent="0.35">
      <c r="A251" s="12">
        <v>45541</v>
      </c>
      <c r="B251" s="89">
        <f>MONTH(Table14[[#This Row],[Date]])</f>
        <v>9</v>
      </c>
      <c r="C251" s="89" t="str">
        <f>"S" &amp; WEEKNUM(Table14[[#This Row],[Date]])</f>
        <v>S36</v>
      </c>
    </row>
    <row r="252" spans="1:3" x14ac:dyDescent="0.35">
      <c r="A252" s="12">
        <v>45542</v>
      </c>
      <c r="B252" s="89">
        <f>MONTH(Table14[[#This Row],[Date]])</f>
        <v>9</v>
      </c>
      <c r="C252" s="89" t="str">
        <f>"S" &amp; WEEKNUM(Table14[[#This Row],[Date]])</f>
        <v>S36</v>
      </c>
    </row>
    <row r="253" spans="1:3" x14ac:dyDescent="0.35">
      <c r="A253" s="12">
        <v>45543</v>
      </c>
      <c r="B253" s="89">
        <f>MONTH(Table14[[#This Row],[Date]])</f>
        <v>9</v>
      </c>
      <c r="C253" s="89" t="str">
        <f>"S" &amp; WEEKNUM(Table14[[#This Row],[Date]])</f>
        <v>S37</v>
      </c>
    </row>
    <row r="254" spans="1:3" x14ac:dyDescent="0.35">
      <c r="A254" s="12">
        <v>45544</v>
      </c>
      <c r="B254" s="89">
        <f>MONTH(Table14[[#This Row],[Date]])</f>
        <v>9</v>
      </c>
      <c r="C254" s="89" t="str">
        <f>"S" &amp; WEEKNUM(Table14[[#This Row],[Date]])</f>
        <v>S37</v>
      </c>
    </row>
    <row r="255" spans="1:3" x14ac:dyDescent="0.35">
      <c r="A255" s="12">
        <v>45545</v>
      </c>
      <c r="B255" s="89">
        <f>MONTH(Table14[[#This Row],[Date]])</f>
        <v>9</v>
      </c>
      <c r="C255" s="89" t="str">
        <f>"S" &amp; WEEKNUM(Table14[[#This Row],[Date]])</f>
        <v>S37</v>
      </c>
    </row>
    <row r="256" spans="1:3" x14ac:dyDescent="0.35">
      <c r="A256" s="12">
        <v>45546</v>
      </c>
      <c r="B256" s="89">
        <f>MONTH(Table14[[#This Row],[Date]])</f>
        <v>9</v>
      </c>
      <c r="C256" s="89" t="str">
        <f>"S" &amp; WEEKNUM(Table14[[#This Row],[Date]])</f>
        <v>S37</v>
      </c>
    </row>
    <row r="257" spans="1:3" x14ac:dyDescent="0.35">
      <c r="A257" s="12">
        <v>45547</v>
      </c>
      <c r="B257" s="89">
        <f>MONTH(Table14[[#This Row],[Date]])</f>
        <v>9</v>
      </c>
      <c r="C257" s="89" t="str">
        <f>"S" &amp; WEEKNUM(Table14[[#This Row],[Date]])</f>
        <v>S37</v>
      </c>
    </row>
    <row r="258" spans="1:3" x14ac:dyDescent="0.35">
      <c r="A258" s="12">
        <v>45548</v>
      </c>
      <c r="B258" s="89">
        <f>MONTH(Table14[[#This Row],[Date]])</f>
        <v>9</v>
      </c>
      <c r="C258" s="89" t="str">
        <f>"S" &amp; WEEKNUM(Table14[[#This Row],[Date]])</f>
        <v>S37</v>
      </c>
    </row>
    <row r="259" spans="1:3" x14ac:dyDescent="0.35">
      <c r="A259" s="12">
        <v>45549</v>
      </c>
      <c r="B259" s="89">
        <f>MONTH(Table14[[#This Row],[Date]])</f>
        <v>9</v>
      </c>
      <c r="C259" s="89" t="str">
        <f>"S" &amp; WEEKNUM(Table14[[#This Row],[Date]])</f>
        <v>S37</v>
      </c>
    </row>
    <row r="260" spans="1:3" x14ac:dyDescent="0.35">
      <c r="A260" s="12">
        <v>45550</v>
      </c>
      <c r="B260" s="89">
        <f>MONTH(Table14[[#This Row],[Date]])</f>
        <v>9</v>
      </c>
      <c r="C260" s="89" t="str">
        <f>"S" &amp; WEEKNUM(Table14[[#This Row],[Date]])</f>
        <v>S38</v>
      </c>
    </row>
    <row r="261" spans="1:3" x14ac:dyDescent="0.35">
      <c r="A261" s="12">
        <v>45551</v>
      </c>
      <c r="B261" s="89">
        <f>MONTH(Table14[[#This Row],[Date]])</f>
        <v>9</v>
      </c>
      <c r="C261" s="89" t="str">
        <f>"S" &amp; WEEKNUM(Table14[[#This Row],[Date]])</f>
        <v>S38</v>
      </c>
    </row>
    <row r="262" spans="1:3" x14ac:dyDescent="0.35">
      <c r="A262" s="12">
        <v>45552</v>
      </c>
      <c r="B262" s="89">
        <f>MONTH(Table14[[#This Row],[Date]])</f>
        <v>9</v>
      </c>
      <c r="C262" s="89" t="str">
        <f>"S" &amp; WEEKNUM(Table14[[#This Row],[Date]])</f>
        <v>S38</v>
      </c>
    </row>
    <row r="263" spans="1:3" x14ac:dyDescent="0.35">
      <c r="A263" s="12">
        <v>45553</v>
      </c>
      <c r="B263" s="89">
        <f>MONTH(Table14[[#This Row],[Date]])</f>
        <v>9</v>
      </c>
      <c r="C263" s="89" t="str">
        <f>"S" &amp; WEEKNUM(Table14[[#This Row],[Date]])</f>
        <v>S38</v>
      </c>
    </row>
    <row r="264" spans="1:3" x14ac:dyDescent="0.35">
      <c r="A264" s="12">
        <v>45554</v>
      </c>
      <c r="B264" s="89">
        <f>MONTH(Table14[[#This Row],[Date]])</f>
        <v>9</v>
      </c>
      <c r="C264" s="89" t="str">
        <f>"S" &amp; WEEKNUM(Table14[[#This Row],[Date]])</f>
        <v>S38</v>
      </c>
    </row>
    <row r="265" spans="1:3" x14ac:dyDescent="0.35">
      <c r="A265" s="12">
        <v>45555</v>
      </c>
      <c r="B265" s="89">
        <f>MONTH(Table14[[#This Row],[Date]])</f>
        <v>9</v>
      </c>
      <c r="C265" s="89" t="str">
        <f>"S" &amp; WEEKNUM(Table14[[#This Row],[Date]])</f>
        <v>S38</v>
      </c>
    </row>
    <row r="266" spans="1:3" x14ac:dyDescent="0.35">
      <c r="A266" s="12">
        <v>45556</v>
      </c>
      <c r="B266" s="89">
        <f>MONTH(Table14[[#This Row],[Date]])</f>
        <v>9</v>
      </c>
      <c r="C266" s="89" t="str">
        <f>"S" &amp; WEEKNUM(Table14[[#This Row],[Date]])</f>
        <v>S38</v>
      </c>
    </row>
    <row r="267" spans="1:3" x14ac:dyDescent="0.35">
      <c r="A267" s="12">
        <v>45557</v>
      </c>
      <c r="B267" s="89">
        <f>MONTH(Table14[[#This Row],[Date]])</f>
        <v>9</v>
      </c>
      <c r="C267" s="89" t="str">
        <f>"S" &amp; WEEKNUM(Table14[[#This Row],[Date]])</f>
        <v>S39</v>
      </c>
    </row>
    <row r="268" spans="1:3" x14ac:dyDescent="0.35">
      <c r="A268" s="12">
        <v>45558</v>
      </c>
      <c r="B268" s="89">
        <f>MONTH(Table14[[#This Row],[Date]])</f>
        <v>9</v>
      </c>
      <c r="C268" s="89" t="str">
        <f>"S" &amp; WEEKNUM(Table14[[#This Row],[Date]])</f>
        <v>S39</v>
      </c>
    </row>
    <row r="269" spans="1:3" x14ac:dyDescent="0.35">
      <c r="A269" s="12">
        <v>45559</v>
      </c>
      <c r="B269" s="89">
        <f>MONTH(Table14[[#This Row],[Date]])</f>
        <v>9</v>
      </c>
      <c r="C269" s="89" t="str">
        <f>"S" &amp; WEEKNUM(Table14[[#This Row],[Date]])</f>
        <v>S39</v>
      </c>
    </row>
    <row r="270" spans="1:3" x14ac:dyDescent="0.35">
      <c r="A270" s="12">
        <v>45560</v>
      </c>
      <c r="B270" s="89">
        <f>MONTH(Table14[[#This Row],[Date]])</f>
        <v>9</v>
      </c>
      <c r="C270" s="89" t="str">
        <f>"S" &amp; WEEKNUM(Table14[[#This Row],[Date]])</f>
        <v>S39</v>
      </c>
    </row>
    <row r="271" spans="1:3" x14ac:dyDescent="0.35">
      <c r="A271" s="12">
        <v>45561</v>
      </c>
      <c r="B271" s="89">
        <f>MONTH(Table14[[#This Row],[Date]])</f>
        <v>9</v>
      </c>
      <c r="C271" s="89" t="str">
        <f>"S" &amp; WEEKNUM(Table14[[#This Row],[Date]])</f>
        <v>S39</v>
      </c>
    </row>
    <row r="272" spans="1:3" x14ac:dyDescent="0.35">
      <c r="A272" s="12">
        <v>45562</v>
      </c>
      <c r="B272" s="89">
        <f>MONTH(Table14[[#This Row],[Date]])</f>
        <v>9</v>
      </c>
      <c r="C272" s="89" t="str">
        <f>"S" &amp; WEEKNUM(Table14[[#This Row],[Date]])</f>
        <v>S39</v>
      </c>
    </row>
    <row r="273" spans="1:3" x14ac:dyDescent="0.35">
      <c r="A273" s="12">
        <v>45563</v>
      </c>
      <c r="B273" s="89">
        <f>MONTH(Table14[[#This Row],[Date]])</f>
        <v>9</v>
      </c>
      <c r="C273" s="89" t="str">
        <f>"S" &amp; WEEKNUM(Table14[[#This Row],[Date]])</f>
        <v>S39</v>
      </c>
    </row>
    <row r="274" spans="1:3" x14ac:dyDescent="0.35">
      <c r="A274" s="12">
        <v>45564</v>
      </c>
      <c r="B274" s="89">
        <f>MONTH(Table14[[#This Row],[Date]])</f>
        <v>9</v>
      </c>
      <c r="C274" s="89" t="str">
        <f>"S" &amp; WEEKNUM(Table14[[#This Row],[Date]])</f>
        <v>S40</v>
      </c>
    </row>
    <row r="275" spans="1:3" x14ac:dyDescent="0.35">
      <c r="A275" s="12">
        <v>45565</v>
      </c>
      <c r="B275" s="89">
        <f>MONTH(Table14[[#This Row],[Date]])</f>
        <v>9</v>
      </c>
      <c r="C275" s="89" t="str">
        <f>"S" &amp; WEEKNUM(Table14[[#This Row],[Date]])</f>
        <v>S40</v>
      </c>
    </row>
    <row r="276" spans="1:3" x14ac:dyDescent="0.35">
      <c r="A276" s="12">
        <v>45566</v>
      </c>
      <c r="B276" s="89">
        <f>MONTH(Table14[[#This Row],[Date]])</f>
        <v>10</v>
      </c>
      <c r="C276" s="89" t="str">
        <f>"S" &amp; WEEKNUM(Table14[[#This Row],[Date]])</f>
        <v>S40</v>
      </c>
    </row>
    <row r="277" spans="1:3" x14ac:dyDescent="0.35">
      <c r="A277" s="12">
        <v>45567</v>
      </c>
      <c r="B277" s="89">
        <f>MONTH(Table14[[#This Row],[Date]])</f>
        <v>10</v>
      </c>
      <c r="C277" s="89" t="str">
        <f>"S" &amp; WEEKNUM(Table14[[#This Row],[Date]])</f>
        <v>S40</v>
      </c>
    </row>
    <row r="278" spans="1:3" x14ac:dyDescent="0.35">
      <c r="A278" s="12">
        <v>45568</v>
      </c>
      <c r="B278" s="89">
        <f>MONTH(Table14[[#This Row],[Date]])</f>
        <v>10</v>
      </c>
      <c r="C278" s="89" t="str">
        <f>"S" &amp; WEEKNUM(Table14[[#This Row],[Date]])</f>
        <v>S40</v>
      </c>
    </row>
    <row r="279" spans="1:3" x14ac:dyDescent="0.35">
      <c r="A279" s="12">
        <v>45569</v>
      </c>
      <c r="B279" s="89">
        <f>MONTH(Table14[[#This Row],[Date]])</f>
        <v>10</v>
      </c>
      <c r="C279" s="89" t="str">
        <f>"S" &amp; WEEKNUM(Table14[[#This Row],[Date]])</f>
        <v>S40</v>
      </c>
    </row>
    <row r="280" spans="1:3" x14ac:dyDescent="0.35">
      <c r="A280" s="12">
        <v>45570</v>
      </c>
      <c r="B280" s="89">
        <f>MONTH(Table14[[#This Row],[Date]])</f>
        <v>10</v>
      </c>
      <c r="C280" s="89" t="str">
        <f>"S" &amp; WEEKNUM(Table14[[#This Row],[Date]])</f>
        <v>S40</v>
      </c>
    </row>
    <row r="281" spans="1:3" x14ac:dyDescent="0.35">
      <c r="A281" s="12">
        <v>45571</v>
      </c>
      <c r="B281" s="89">
        <f>MONTH(Table14[[#This Row],[Date]])</f>
        <v>10</v>
      </c>
      <c r="C281" s="89" t="str">
        <f>"S" &amp; WEEKNUM(Table14[[#This Row],[Date]])</f>
        <v>S41</v>
      </c>
    </row>
    <row r="282" spans="1:3" x14ac:dyDescent="0.35">
      <c r="A282" s="12">
        <v>45572</v>
      </c>
      <c r="B282" s="89">
        <f>MONTH(Table14[[#This Row],[Date]])</f>
        <v>10</v>
      </c>
      <c r="C282" s="89" t="str">
        <f>"S" &amp; WEEKNUM(Table14[[#This Row],[Date]])</f>
        <v>S41</v>
      </c>
    </row>
    <row r="283" spans="1:3" x14ac:dyDescent="0.35">
      <c r="A283" s="12">
        <v>45573</v>
      </c>
      <c r="B283" s="89">
        <f>MONTH(Table14[[#This Row],[Date]])</f>
        <v>10</v>
      </c>
      <c r="C283" s="89" t="str">
        <f>"S" &amp; WEEKNUM(Table14[[#This Row],[Date]])</f>
        <v>S41</v>
      </c>
    </row>
    <row r="284" spans="1:3" x14ac:dyDescent="0.35">
      <c r="A284" s="12">
        <v>45574</v>
      </c>
      <c r="B284" s="89">
        <f>MONTH(Table14[[#This Row],[Date]])</f>
        <v>10</v>
      </c>
      <c r="C284" s="89" t="str">
        <f>"S" &amp; WEEKNUM(Table14[[#This Row],[Date]])</f>
        <v>S41</v>
      </c>
    </row>
    <row r="285" spans="1:3" x14ac:dyDescent="0.35">
      <c r="A285" s="12">
        <v>45575</v>
      </c>
      <c r="B285" s="89">
        <f>MONTH(Table14[[#This Row],[Date]])</f>
        <v>10</v>
      </c>
      <c r="C285" s="89" t="str">
        <f>"S" &amp; WEEKNUM(Table14[[#This Row],[Date]])</f>
        <v>S41</v>
      </c>
    </row>
    <row r="286" spans="1:3" x14ac:dyDescent="0.35">
      <c r="A286" s="12">
        <v>45576</v>
      </c>
      <c r="B286" s="89">
        <f>MONTH(Table14[[#This Row],[Date]])</f>
        <v>10</v>
      </c>
      <c r="C286" s="89" t="str">
        <f>"S" &amp; WEEKNUM(Table14[[#This Row],[Date]])</f>
        <v>S41</v>
      </c>
    </row>
    <row r="287" spans="1:3" x14ac:dyDescent="0.35">
      <c r="A287" s="12">
        <v>45577</v>
      </c>
      <c r="B287" s="89">
        <f>MONTH(Table14[[#This Row],[Date]])</f>
        <v>10</v>
      </c>
      <c r="C287" s="89" t="str">
        <f>"S" &amp; WEEKNUM(Table14[[#This Row],[Date]])</f>
        <v>S41</v>
      </c>
    </row>
    <row r="288" spans="1:3" x14ac:dyDescent="0.35">
      <c r="A288" s="12">
        <v>45578</v>
      </c>
      <c r="B288" s="89">
        <f>MONTH(Table14[[#This Row],[Date]])</f>
        <v>10</v>
      </c>
      <c r="C288" s="89" t="str">
        <f>"S" &amp; WEEKNUM(Table14[[#This Row],[Date]])</f>
        <v>S42</v>
      </c>
    </row>
    <row r="289" spans="1:3" x14ac:dyDescent="0.35">
      <c r="A289" s="12">
        <v>45579</v>
      </c>
      <c r="B289" s="89">
        <f>MONTH(Table14[[#This Row],[Date]])</f>
        <v>10</v>
      </c>
      <c r="C289" s="89" t="str">
        <f>"S" &amp; WEEKNUM(Table14[[#This Row],[Date]])</f>
        <v>S42</v>
      </c>
    </row>
    <row r="290" spans="1:3" x14ac:dyDescent="0.35">
      <c r="A290" s="12">
        <v>45580</v>
      </c>
      <c r="B290" s="89">
        <f>MONTH(Table14[[#This Row],[Date]])</f>
        <v>10</v>
      </c>
      <c r="C290" s="89" t="str">
        <f>"S" &amp; WEEKNUM(Table14[[#This Row],[Date]])</f>
        <v>S42</v>
      </c>
    </row>
    <row r="291" spans="1:3" x14ac:dyDescent="0.35">
      <c r="A291" s="12">
        <v>45581</v>
      </c>
      <c r="B291" s="89">
        <f>MONTH(Table14[[#This Row],[Date]])</f>
        <v>10</v>
      </c>
      <c r="C291" s="89" t="str">
        <f>"S" &amp; WEEKNUM(Table14[[#This Row],[Date]])</f>
        <v>S42</v>
      </c>
    </row>
    <row r="292" spans="1:3" x14ac:dyDescent="0.35">
      <c r="A292" s="12">
        <v>45582</v>
      </c>
      <c r="B292" s="89">
        <f>MONTH(Table14[[#This Row],[Date]])</f>
        <v>10</v>
      </c>
      <c r="C292" s="89" t="str">
        <f>"S" &amp; WEEKNUM(Table14[[#This Row],[Date]])</f>
        <v>S42</v>
      </c>
    </row>
    <row r="293" spans="1:3" x14ac:dyDescent="0.35">
      <c r="A293" s="12">
        <v>45583</v>
      </c>
      <c r="B293" s="89">
        <f>MONTH(Table14[[#This Row],[Date]])</f>
        <v>10</v>
      </c>
      <c r="C293" s="89" t="str">
        <f>"S" &amp; WEEKNUM(Table14[[#This Row],[Date]])</f>
        <v>S42</v>
      </c>
    </row>
    <row r="294" spans="1:3" x14ac:dyDescent="0.35">
      <c r="A294" s="12">
        <v>45584</v>
      </c>
      <c r="B294" s="89">
        <f>MONTH(Table14[[#This Row],[Date]])</f>
        <v>10</v>
      </c>
      <c r="C294" s="89" t="str">
        <f>"S" &amp; WEEKNUM(Table14[[#This Row],[Date]])</f>
        <v>S42</v>
      </c>
    </row>
    <row r="295" spans="1:3" x14ac:dyDescent="0.35">
      <c r="A295" s="12">
        <v>45585</v>
      </c>
      <c r="B295" s="89">
        <f>MONTH(Table14[[#This Row],[Date]])</f>
        <v>10</v>
      </c>
      <c r="C295" s="89" t="str">
        <f>"S" &amp; WEEKNUM(Table14[[#This Row],[Date]])</f>
        <v>S43</v>
      </c>
    </row>
    <row r="296" spans="1:3" x14ac:dyDescent="0.35">
      <c r="A296" s="12">
        <v>45586</v>
      </c>
      <c r="B296" s="89">
        <f>MONTH(Table14[[#This Row],[Date]])</f>
        <v>10</v>
      </c>
      <c r="C296" s="89" t="str">
        <f>"S" &amp; WEEKNUM(Table14[[#This Row],[Date]])</f>
        <v>S43</v>
      </c>
    </row>
    <row r="297" spans="1:3" x14ac:dyDescent="0.35">
      <c r="A297" s="12">
        <v>45587</v>
      </c>
      <c r="B297" s="89">
        <f>MONTH(Table14[[#This Row],[Date]])</f>
        <v>10</v>
      </c>
      <c r="C297" s="89" t="str">
        <f>"S" &amp; WEEKNUM(Table14[[#This Row],[Date]])</f>
        <v>S43</v>
      </c>
    </row>
    <row r="298" spans="1:3" x14ac:dyDescent="0.35">
      <c r="A298" s="12">
        <v>45588</v>
      </c>
      <c r="B298" s="89">
        <f>MONTH(Table14[[#This Row],[Date]])</f>
        <v>10</v>
      </c>
      <c r="C298" s="89" t="str">
        <f>"S" &amp; WEEKNUM(Table14[[#This Row],[Date]])</f>
        <v>S43</v>
      </c>
    </row>
    <row r="299" spans="1:3" x14ac:dyDescent="0.35">
      <c r="A299" s="12">
        <v>45589</v>
      </c>
      <c r="B299" s="89">
        <f>MONTH(Table14[[#This Row],[Date]])</f>
        <v>10</v>
      </c>
      <c r="C299" s="89" t="str">
        <f>"S" &amp; WEEKNUM(Table14[[#This Row],[Date]])</f>
        <v>S43</v>
      </c>
    </row>
    <row r="300" spans="1:3" x14ac:dyDescent="0.35">
      <c r="A300" s="12">
        <v>45590</v>
      </c>
      <c r="B300" s="89">
        <f>MONTH(Table14[[#This Row],[Date]])</f>
        <v>10</v>
      </c>
      <c r="C300" s="89" t="str">
        <f>"S" &amp; WEEKNUM(Table14[[#This Row],[Date]])</f>
        <v>S43</v>
      </c>
    </row>
    <row r="301" spans="1:3" x14ac:dyDescent="0.35">
      <c r="A301" s="12">
        <v>45591</v>
      </c>
      <c r="B301" s="89">
        <f>MONTH(Table14[[#This Row],[Date]])</f>
        <v>10</v>
      </c>
      <c r="C301" s="89" t="str">
        <f>"S" &amp; WEEKNUM(Table14[[#This Row],[Date]])</f>
        <v>S43</v>
      </c>
    </row>
    <row r="302" spans="1:3" x14ac:dyDescent="0.35">
      <c r="A302" s="12">
        <v>45592</v>
      </c>
      <c r="B302" s="89">
        <f>MONTH(Table14[[#This Row],[Date]])</f>
        <v>10</v>
      </c>
      <c r="C302" s="89" t="str">
        <f>"S" &amp; WEEKNUM(Table14[[#This Row],[Date]])</f>
        <v>S44</v>
      </c>
    </row>
    <row r="303" spans="1:3" x14ac:dyDescent="0.35">
      <c r="A303" s="12">
        <v>45593</v>
      </c>
      <c r="B303" s="89">
        <f>MONTH(Table14[[#This Row],[Date]])</f>
        <v>10</v>
      </c>
      <c r="C303" s="89" t="str">
        <f>"S" &amp; WEEKNUM(Table14[[#This Row],[Date]])</f>
        <v>S44</v>
      </c>
    </row>
    <row r="304" spans="1:3" x14ac:dyDescent="0.35">
      <c r="A304" s="12">
        <v>45594</v>
      </c>
      <c r="B304" s="89">
        <f>MONTH(Table14[[#This Row],[Date]])</f>
        <v>10</v>
      </c>
      <c r="C304" s="89" t="str">
        <f>"S" &amp; WEEKNUM(Table14[[#This Row],[Date]])</f>
        <v>S44</v>
      </c>
    </row>
    <row r="305" spans="1:3" x14ac:dyDescent="0.35">
      <c r="A305" s="12">
        <v>45595</v>
      </c>
      <c r="B305" s="89">
        <f>MONTH(Table14[[#This Row],[Date]])</f>
        <v>10</v>
      </c>
      <c r="C305" s="89" t="str">
        <f>"S" &amp; WEEKNUM(Table14[[#This Row],[Date]])</f>
        <v>S44</v>
      </c>
    </row>
    <row r="306" spans="1:3" x14ac:dyDescent="0.35">
      <c r="A306" s="12">
        <v>45596</v>
      </c>
      <c r="B306" s="89">
        <f>MONTH(Table14[[#This Row],[Date]])</f>
        <v>10</v>
      </c>
      <c r="C306" s="89" t="str">
        <f>"S" &amp; WEEKNUM(Table14[[#This Row],[Date]])</f>
        <v>S44</v>
      </c>
    </row>
    <row r="307" spans="1:3" x14ac:dyDescent="0.35">
      <c r="A307" s="12">
        <v>45597</v>
      </c>
      <c r="B307" s="89">
        <f>MONTH(Table14[[#This Row],[Date]])</f>
        <v>11</v>
      </c>
      <c r="C307" s="89" t="str">
        <f>"S" &amp; WEEKNUM(Table14[[#This Row],[Date]])</f>
        <v>S44</v>
      </c>
    </row>
    <row r="308" spans="1:3" x14ac:dyDescent="0.35">
      <c r="A308" s="12">
        <v>45598</v>
      </c>
      <c r="B308" s="89">
        <f>MONTH(Table14[[#This Row],[Date]])</f>
        <v>11</v>
      </c>
      <c r="C308" s="89" t="str">
        <f>"S" &amp; WEEKNUM(Table14[[#This Row],[Date]])</f>
        <v>S44</v>
      </c>
    </row>
    <row r="309" spans="1:3" x14ac:dyDescent="0.35">
      <c r="A309" s="12">
        <v>45599</v>
      </c>
      <c r="B309" s="89">
        <f>MONTH(Table14[[#This Row],[Date]])</f>
        <v>11</v>
      </c>
      <c r="C309" s="89" t="str">
        <f>"S" &amp; WEEKNUM(Table14[[#This Row],[Date]])</f>
        <v>S45</v>
      </c>
    </row>
    <row r="310" spans="1:3" x14ac:dyDescent="0.35">
      <c r="A310" s="12">
        <v>45600</v>
      </c>
      <c r="B310" s="89">
        <f>MONTH(Table14[[#This Row],[Date]])</f>
        <v>11</v>
      </c>
      <c r="C310" s="89" t="str">
        <f>"S" &amp; WEEKNUM(Table14[[#This Row],[Date]])</f>
        <v>S45</v>
      </c>
    </row>
    <row r="311" spans="1:3" x14ac:dyDescent="0.35">
      <c r="A311" s="12">
        <v>45601</v>
      </c>
      <c r="B311" s="89">
        <f>MONTH(Table14[[#This Row],[Date]])</f>
        <v>11</v>
      </c>
      <c r="C311" s="89" t="str">
        <f>"S" &amp; WEEKNUM(Table14[[#This Row],[Date]])</f>
        <v>S45</v>
      </c>
    </row>
    <row r="312" spans="1:3" x14ac:dyDescent="0.35">
      <c r="A312" s="12">
        <v>45602</v>
      </c>
      <c r="B312" s="89">
        <f>MONTH(Table14[[#This Row],[Date]])</f>
        <v>11</v>
      </c>
      <c r="C312" s="89" t="str">
        <f>"S" &amp; WEEKNUM(Table14[[#This Row],[Date]])</f>
        <v>S45</v>
      </c>
    </row>
    <row r="313" spans="1:3" x14ac:dyDescent="0.35">
      <c r="A313" s="12">
        <v>45603</v>
      </c>
      <c r="B313" s="89">
        <f>MONTH(Table14[[#This Row],[Date]])</f>
        <v>11</v>
      </c>
      <c r="C313" s="89" t="str">
        <f>"S" &amp; WEEKNUM(Table14[[#This Row],[Date]])</f>
        <v>S45</v>
      </c>
    </row>
    <row r="314" spans="1:3" x14ac:dyDescent="0.35">
      <c r="A314" s="12">
        <v>45604</v>
      </c>
      <c r="B314" s="89">
        <f>MONTH(Table14[[#This Row],[Date]])</f>
        <v>11</v>
      </c>
      <c r="C314" s="89" t="str">
        <f>"S" &amp; WEEKNUM(Table14[[#This Row],[Date]])</f>
        <v>S45</v>
      </c>
    </row>
    <row r="315" spans="1:3" x14ac:dyDescent="0.35">
      <c r="A315" s="12">
        <v>45605</v>
      </c>
      <c r="B315" s="89">
        <f>MONTH(Table14[[#This Row],[Date]])</f>
        <v>11</v>
      </c>
      <c r="C315" s="89" t="str">
        <f>"S" &amp; WEEKNUM(Table14[[#This Row],[Date]])</f>
        <v>S45</v>
      </c>
    </row>
    <row r="316" spans="1:3" x14ac:dyDescent="0.35">
      <c r="A316" s="12">
        <v>45606</v>
      </c>
      <c r="B316" s="89">
        <f>MONTH(Table14[[#This Row],[Date]])</f>
        <v>11</v>
      </c>
      <c r="C316" s="89" t="str">
        <f>"S" &amp; WEEKNUM(Table14[[#This Row],[Date]])</f>
        <v>S46</v>
      </c>
    </row>
    <row r="317" spans="1:3" x14ac:dyDescent="0.35">
      <c r="A317" s="12">
        <v>45607</v>
      </c>
      <c r="B317" s="89">
        <f>MONTH(Table14[[#This Row],[Date]])</f>
        <v>11</v>
      </c>
      <c r="C317" s="89" t="str">
        <f>"S" &amp; WEEKNUM(Table14[[#This Row],[Date]])</f>
        <v>S46</v>
      </c>
    </row>
    <row r="318" spans="1:3" x14ac:dyDescent="0.35">
      <c r="A318" s="12">
        <v>45608</v>
      </c>
      <c r="B318" s="89">
        <f>MONTH(Table14[[#This Row],[Date]])</f>
        <v>11</v>
      </c>
      <c r="C318" s="89" t="str">
        <f>"S" &amp; WEEKNUM(Table14[[#This Row],[Date]])</f>
        <v>S46</v>
      </c>
    </row>
    <row r="319" spans="1:3" x14ac:dyDescent="0.35">
      <c r="A319" s="12">
        <v>45609</v>
      </c>
      <c r="B319" s="89">
        <f>MONTH(Table14[[#This Row],[Date]])</f>
        <v>11</v>
      </c>
      <c r="C319" s="89" t="str">
        <f>"S" &amp; WEEKNUM(Table14[[#This Row],[Date]])</f>
        <v>S46</v>
      </c>
    </row>
    <row r="320" spans="1:3" x14ac:dyDescent="0.35">
      <c r="A320" s="12">
        <v>45610</v>
      </c>
      <c r="B320" s="89">
        <f>MONTH(Table14[[#This Row],[Date]])</f>
        <v>11</v>
      </c>
      <c r="C320" s="89" t="str">
        <f>"S" &amp; WEEKNUM(Table14[[#This Row],[Date]])</f>
        <v>S46</v>
      </c>
    </row>
    <row r="321" spans="1:3" x14ac:dyDescent="0.35">
      <c r="A321" s="12">
        <v>45611</v>
      </c>
      <c r="B321" s="89">
        <f>MONTH(Table14[[#This Row],[Date]])</f>
        <v>11</v>
      </c>
      <c r="C321" s="89" t="str">
        <f>"S" &amp; WEEKNUM(Table14[[#This Row],[Date]])</f>
        <v>S46</v>
      </c>
    </row>
    <row r="322" spans="1:3" x14ac:dyDescent="0.35">
      <c r="A322" s="12">
        <v>45612</v>
      </c>
      <c r="B322" s="89">
        <f>MONTH(Table14[[#This Row],[Date]])</f>
        <v>11</v>
      </c>
      <c r="C322" s="89" t="str">
        <f>"S" &amp; WEEKNUM(Table14[[#This Row],[Date]])</f>
        <v>S46</v>
      </c>
    </row>
    <row r="323" spans="1:3" x14ac:dyDescent="0.35">
      <c r="A323" s="12">
        <v>45613</v>
      </c>
      <c r="B323" s="89">
        <f>MONTH(Table14[[#This Row],[Date]])</f>
        <v>11</v>
      </c>
      <c r="C323" s="89" t="str">
        <f>"S" &amp; WEEKNUM(Table14[[#This Row],[Date]])</f>
        <v>S47</v>
      </c>
    </row>
    <row r="324" spans="1:3" x14ac:dyDescent="0.35">
      <c r="A324" s="12">
        <v>45614</v>
      </c>
      <c r="B324" s="89">
        <f>MONTH(Table14[[#This Row],[Date]])</f>
        <v>11</v>
      </c>
      <c r="C324" s="89" t="str">
        <f>"S" &amp; WEEKNUM(Table14[[#This Row],[Date]])</f>
        <v>S47</v>
      </c>
    </row>
    <row r="325" spans="1:3" x14ac:dyDescent="0.35">
      <c r="A325" s="12">
        <v>45615</v>
      </c>
      <c r="B325" s="89">
        <f>MONTH(Table14[[#This Row],[Date]])</f>
        <v>11</v>
      </c>
      <c r="C325" s="89" t="str">
        <f>"S" &amp; WEEKNUM(Table14[[#This Row],[Date]])</f>
        <v>S47</v>
      </c>
    </row>
    <row r="326" spans="1:3" x14ac:dyDescent="0.35">
      <c r="A326" s="12">
        <v>45616</v>
      </c>
      <c r="B326" s="89">
        <f>MONTH(Table14[[#This Row],[Date]])</f>
        <v>11</v>
      </c>
      <c r="C326" s="89" t="str">
        <f>"S" &amp; WEEKNUM(Table14[[#This Row],[Date]])</f>
        <v>S47</v>
      </c>
    </row>
    <row r="327" spans="1:3" x14ac:dyDescent="0.35">
      <c r="A327" s="12">
        <v>45617</v>
      </c>
      <c r="B327" s="89">
        <f>MONTH(Table14[[#This Row],[Date]])</f>
        <v>11</v>
      </c>
      <c r="C327" s="89" t="str">
        <f>"S" &amp; WEEKNUM(Table14[[#This Row],[Date]])</f>
        <v>S47</v>
      </c>
    </row>
    <row r="328" spans="1:3" x14ac:dyDescent="0.35">
      <c r="A328" s="12">
        <v>45618</v>
      </c>
      <c r="B328" s="89">
        <f>MONTH(Table14[[#This Row],[Date]])</f>
        <v>11</v>
      </c>
      <c r="C328" s="89" t="str">
        <f>"S" &amp; WEEKNUM(Table14[[#This Row],[Date]])</f>
        <v>S47</v>
      </c>
    </row>
    <row r="329" spans="1:3" x14ac:dyDescent="0.35">
      <c r="A329" s="12">
        <v>45619</v>
      </c>
      <c r="B329" s="89">
        <f>MONTH(Table14[[#This Row],[Date]])</f>
        <v>11</v>
      </c>
      <c r="C329" s="89" t="str">
        <f>"S" &amp; WEEKNUM(Table14[[#This Row],[Date]])</f>
        <v>S47</v>
      </c>
    </row>
    <row r="330" spans="1:3" x14ac:dyDescent="0.35">
      <c r="A330" s="12">
        <v>45620</v>
      </c>
      <c r="B330" s="89">
        <f>MONTH(Table14[[#This Row],[Date]])</f>
        <v>11</v>
      </c>
      <c r="C330" s="89" t="str">
        <f>"S" &amp; WEEKNUM(Table14[[#This Row],[Date]])</f>
        <v>S48</v>
      </c>
    </row>
    <row r="331" spans="1:3" x14ac:dyDescent="0.35">
      <c r="A331" s="12">
        <v>45621</v>
      </c>
      <c r="B331" s="89">
        <f>MONTH(Table14[[#This Row],[Date]])</f>
        <v>11</v>
      </c>
      <c r="C331" s="89" t="str">
        <f>"S" &amp; WEEKNUM(Table14[[#This Row],[Date]])</f>
        <v>S48</v>
      </c>
    </row>
    <row r="332" spans="1:3" x14ac:dyDescent="0.35">
      <c r="A332" s="12">
        <v>45622</v>
      </c>
      <c r="B332" s="89">
        <f>MONTH(Table14[[#This Row],[Date]])</f>
        <v>11</v>
      </c>
      <c r="C332" s="89" t="str">
        <f>"S" &amp; WEEKNUM(Table14[[#This Row],[Date]])</f>
        <v>S48</v>
      </c>
    </row>
    <row r="333" spans="1:3" x14ac:dyDescent="0.35">
      <c r="A333" s="12">
        <v>45623</v>
      </c>
      <c r="B333" s="89">
        <f>MONTH(Table14[[#This Row],[Date]])</f>
        <v>11</v>
      </c>
      <c r="C333" s="89" t="str">
        <f>"S" &amp; WEEKNUM(Table14[[#This Row],[Date]])</f>
        <v>S48</v>
      </c>
    </row>
    <row r="334" spans="1:3" x14ac:dyDescent="0.35">
      <c r="A334" s="12">
        <v>45624</v>
      </c>
      <c r="B334" s="89">
        <f>MONTH(Table14[[#This Row],[Date]])</f>
        <v>11</v>
      </c>
      <c r="C334" s="89" t="str">
        <f>"S" &amp; WEEKNUM(Table14[[#This Row],[Date]])</f>
        <v>S48</v>
      </c>
    </row>
    <row r="335" spans="1:3" x14ac:dyDescent="0.35">
      <c r="A335" s="12">
        <v>45625</v>
      </c>
      <c r="B335" s="89">
        <f>MONTH(Table14[[#This Row],[Date]])</f>
        <v>11</v>
      </c>
      <c r="C335" s="89" t="str">
        <f>"S" &amp; WEEKNUM(Table14[[#This Row],[Date]])</f>
        <v>S48</v>
      </c>
    </row>
    <row r="336" spans="1:3" x14ac:dyDescent="0.35">
      <c r="A336" s="12">
        <v>45626</v>
      </c>
      <c r="B336" s="89">
        <f>MONTH(Table14[[#This Row],[Date]])</f>
        <v>11</v>
      </c>
      <c r="C336" s="89" t="str">
        <f>"S" &amp; WEEKNUM(Table14[[#This Row],[Date]])</f>
        <v>S48</v>
      </c>
    </row>
    <row r="337" spans="1:3" x14ac:dyDescent="0.35">
      <c r="A337" s="12">
        <v>45627</v>
      </c>
      <c r="B337" s="89">
        <f>MONTH(Table14[[#This Row],[Date]])</f>
        <v>12</v>
      </c>
      <c r="C337" s="89" t="str">
        <f>"S" &amp; WEEKNUM(Table14[[#This Row],[Date]])</f>
        <v>S49</v>
      </c>
    </row>
    <row r="338" spans="1:3" x14ac:dyDescent="0.35">
      <c r="A338" s="12">
        <v>45628</v>
      </c>
      <c r="B338" s="89">
        <f>MONTH(Table14[[#This Row],[Date]])</f>
        <v>12</v>
      </c>
      <c r="C338" s="89" t="str">
        <f>"S" &amp; WEEKNUM(Table14[[#This Row],[Date]])</f>
        <v>S49</v>
      </c>
    </row>
    <row r="339" spans="1:3" x14ac:dyDescent="0.35">
      <c r="A339" s="12">
        <v>45629</v>
      </c>
      <c r="B339" s="89">
        <f>MONTH(Table14[[#This Row],[Date]])</f>
        <v>12</v>
      </c>
      <c r="C339" s="89" t="str">
        <f>"S" &amp; WEEKNUM(Table14[[#This Row],[Date]])</f>
        <v>S49</v>
      </c>
    </row>
    <row r="340" spans="1:3" x14ac:dyDescent="0.35">
      <c r="A340" s="12">
        <v>45630</v>
      </c>
      <c r="B340" s="89">
        <f>MONTH(Table14[[#This Row],[Date]])</f>
        <v>12</v>
      </c>
      <c r="C340" s="89" t="str">
        <f>"S" &amp; WEEKNUM(Table14[[#This Row],[Date]])</f>
        <v>S49</v>
      </c>
    </row>
    <row r="341" spans="1:3" x14ac:dyDescent="0.35">
      <c r="A341" s="12">
        <v>45631</v>
      </c>
      <c r="B341" s="89">
        <f>MONTH(Table14[[#This Row],[Date]])</f>
        <v>12</v>
      </c>
      <c r="C341" s="89" t="str">
        <f>"S" &amp; WEEKNUM(Table14[[#This Row],[Date]])</f>
        <v>S49</v>
      </c>
    </row>
    <row r="342" spans="1:3" x14ac:dyDescent="0.35">
      <c r="A342" s="12">
        <v>45632</v>
      </c>
      <c r="B342" s="89">
        <f>MONTH(Table14[[#This Row],[Date]])</f>
        <v>12</v>
      </c>
      <c r="C342" s="89" t="str">
        <f>"S" &amp; WEEKNUM(Table14[[#This Row],[Date]])</f>
        <v>S49</v>
      </c>
    </row>
    <row r="343" spans="1:3" x14ac:dyDescent="0.35">
      <c r="A343" s="12">
        <v>45633</v>
      </c>
      <c r="B343" s="89">
        <f>MONTH(Table14[[#This Row],[Date]])</f>
        <v>12</v>
      </c>
      <c r="C343" s="89" t="str">
        <f>"S" &amp; WEEKNUM(Table14[[#This Row],[Date]])</f>
        <v>S49</v>
      </c>
    </row>
    <row r="344" spans="1:3" x14ac:dyDescent="0.35">
      <c r="A344" s="12">
        <v>45634</v>
      </c>
      <c r="B344" s="89">
        <f>MONTH(Table14[[#This Row],[Date]])</f>
        <v>12</v>
      </c>
      <c r="C344" s="89" t="str">
        <f>"S" &amp; WEEKNUM(Table14[[#This Row],[Date]])</f>
        <v>S50</v>
      </c>
    </row>
    <row r="345" spans="1:3" x14ac:dyDescent="0.35">
      <c r="A345" s="12">
        <v>45635</v>
      </c>
      <c r="B345" s="89">
        <f>MONTH(Table14[[#This Row],[Date]])</f>
        <v>12</v>
      </c>
      <c r="C345" s="89" t="str">
        <f>"S" &amp; WEEKNUM(Table14[[#This Row],[Date]])</f>
        <v>S50</v>
      </c>
    </row>
    <row r="346" spans="1:3" x14ac:dyDescent="0.35">
      <c r="A346" s="12">
        <v>45636</v>
      </c>
      <c r="B346" s="89">
        <f>MONTH(Table14[[#This Row],[Date]])</f>
        <v>12</v>
      </c>
      <c r="C346" s="89" t="str">
        <f>"S" &amp; WEEKNUM(Table14[[#This Row],[Date]])</f>
        <v>S50</v>
      </c>
    </row>
    <row r="347" spans="1:3" x14ac:dyDescent="0.35">
      <c r="A347" s="12">
        <v>45637</v>
      </c>
      <c r="B347" s="89">
        <f>MONTH(Table14[[#This Row],[Date]])</f>
        <v>12</v>
      </c>
      <c r="C347" s="89" t="str">
        <f>"S" &amp; WEEKNUM(Table14[[#This Row],[Date]])</f>
        <v>S50</v>
      </c>
    </row>
    <row r="348" spans="1:3" x14ac:dyDescent="0.35">
      <c r="A348" s="12">
        <v>45638</v>
      </c>
      <c r="B348" s="89">
        <f>MONTH(Table14[[#This Row],[Date]])</f>
        <v>12</v>
      </c>
      <c r="C348" s="89" t="str">
        <f>"S" &amp; WEEKNUM(Table14[[#This Row],[Date]])</f>
        <v>S50</v>
      </c>
    </row>
    <row r="349" spans="1:3" x14ac:dyDescent="0.35">
      <c r="A349" s="12">
        <v>45639</v>
      </c>
      <c r="B349" s="89">
        <f>MONTH(Table14[[#This Row],[Date]])</f>
        <v>12</v>
      </c>
      <c r="C349" s="89" t="str">
        <f>"S" &amp; WEEKNUM(Table14[[#This Row],[Date]])</f>
        <v>S50</v>
      </c>
    </row>
    <row r="350" spans="1:3" x14ac:dyDescent="0.35">
      <c r="A350" s="12">
        <v>45640</v>
      </c>
      <c r="B350" s="89">
        <f>MONTH(Table14[[#This Row],[Date]])</f>
        <v>12</v>
      </c>
      <c r="C350" s="89" t="str">
        <f>"S" &amp; WEEKNUM(Table14[[#This Row],[Date]])</f>
        <v>S50</v>
      </c>
    </row>
    <row r="351" spans="1:3" x14ac:dyDescent="0.35">
      <c r="A351" s="12">
        <v>45641</v>
      </c>
      <c r="B351" s="89">
        <f>MONTH(Table14[[#This Row],[Date]])</f>
        <v>12</v>
      </c>
      <c r="C351" s="89" t="str">
        <f>"S" &amp; WEEKNUM(Table14[[#This Row],[Date]])</f>
        <v>S51</v>
      </c>
    </row>
    <row r="352" spans="1:3" x14ac:dyDescent="0.35">
      <c r="A352" s="12">
        <v>45642</v>
      </c>
      <c r="B352" s="89">
        <f>MONTH(Table14[[#This Row],[Date]])</f>
        <v>12</v>
      </c>
      <c r="C352" s="89" t="str">
        <f>"S" &amp; WEEKNUM(Table14[[#This Row],[Date]])</f>
        <v>S51</v>
      </c>
    </row>
    <row r="353" spans="1:3" x14ac:dyDescent="0.35">
      <c r="A353" s="12">
        <v>45643</v>
      </c>
      <c r="B353" s="89">
        <f>MONTH(Table14[[#This Row],[Date]])</f>
        <v>12</v>
      </c>
      <c r="C353" s="89" t="str">
        <f>"S" &amp; WEEKNUM(Table14[[#This Row],[Date]])</f>
        <v>S51</v>
      </c>
    </row>
    <row r="354" spans="1:3" x14ac:dyDescent="0.35">
      <c r="A354" s="12">
        <v>45644</v>
      </c>
      <c r="B354" s="89">
        <f>MONTH(Table14[[#This Row],[Date]])</f>
        <v>12</v>
      </c>
      <c r="C354" s="89" t="str">
        <f>"S" &amp; WEEKNUM(Table14[[#This Row],[Date]])</f>
        <v>S51</v>
      </c>
    </row>
    <row r="355" spans="1:3" x14ac:dyDescent="0.35">
      <c r="A355" s="12">
        <v>45645</v>
      </c>
      <c r="B355" s="89">
        <f>MONTH(Table14[[#This Row],[Date]])</f>
        <v>12</v>
      </c>
      <c r="C355" s="89" t="str">
        <f>"S" &amp; WEEKNUM(Table14[[#This Row],[Date]])</f>
        <v>S51</v>
      </c>
    </row>
    <row r="356" spans="1:3" x14ac:dyDescent="0.35">
      <c r="A356" s="12">
        <v>45646</v>
      </c>
      <c r="B356" s="89">
        <f>MONTH(Table14[[#This Row],[Date]])</f>
        <v>12</v>
      </c>
      <c r="C356" s="89" t="str">
        <f>"S" &amp; WEEKNUM(Table14[[#This Row],[Date]])</f>
        <v>S51</v>
      </c>
    </row>
    <row r="357" spans="1:3" x14ac:dyDescent="0.35">
      <c r="A357" s="12">
        <v>45647</v>
      </c>
      <c r="B357" s="89">
        <f>MONTH(Table14[[#This Row],[Date]])</f>
        <v>12</v>
      </c>
      <c r="C357" s="89" t="str">
        <f>"S" &amp; WEEKNUM(Table14[[#This Row],[Date]])</f>
        <v>S51</v>
      </c>
    </row>
    <row r="358" spans="1:3" x14ac:dyDescent="0.35">
      <c r="A358" s="12">
        <v>45648</v>
      </c>
      <c r="B358" s="89">
        <f>MONTH(Table14[[#This Row],[Date]])</f>
        <v>12</v>
      </c>
      <c r="C358" s="89" t="str">
        <f>"S" &amp; WEEKNUM(Table14[[#This Row],[Date]])</f>
        <v>S52</v>
      </c>
    </row>
    <row r="359" spans="1:3" x14ac:dyDescent="0.35">
      <c r="A359" s="12">
        <v>45649</v>
      </c>
      <c r="B359" s="89">
        <f>MONTH(Table14[[#This Row],[Date]])</f>
        <v>12</v>
      </c>
      <c r="C359" s="89" t="str">
        <f>"S" &amp; WEEKNUM(Table14[[#This Row],[Date]])</f>
        <v>S52</v>
      </c>
    </row>
    <row r="360" spans="1:3" x14ac:dyDescent="0.35">
      <c r="A360" s="12">
        <v>45650</v>
      </c>
      <c r="B360" s="89">
        <f>MONTH(Table14[[#This Row],[Date]])</f>
        <v>12</v>
      </c>
      <c r="C360" s="89" t="str">
        <f>"S" &amp; WEEKNUM(Table14[[#This Row],[Date]])</f>
        <v>S52</v>
      </c>
    </row>
    <row r="361" spans="1:3" x14ac:dyDescent="0.35">
      <c r="A361" s="12">
        <v>45651</v>
      </c>
      <c r="B361" s="89">
        <f>MONTH(Table14[[#This Row],[Date]])</f>
        <v>12</v>
      </c>
      <c r="C361" s="89" t="str">
        <f>"S" &amp; WEEKNUM(Table14[[#This Row],[Date]])</f>
        <v>S52</v>
      </c>
    </row>
    <row r="362" spans="1:3" x14ac:dyDescent="0.35">
      <c r="A362" s="12">
        <v>45652</v>
      </c>
      <c r="B362" s="89">
        <f>MONTH(Table14[[#This Row],[Date]])</f>
        <v>12</v>
      </c>
      <c r="C362" s="89" t="str">
        <f>"S" &amp; WEEKNUM(Table14[[#This Row],[Date]])</f>
        <v>S52</v>
      </c>
    </row>
    <row r="363" spans="1:3" x14ac:dyDescent="0.35">
      <c r="A363" s="12">
        <v>45653</v>
      </c>
      <c r="B363" s="89">
        <f>MONTH(Table14[[#This Row],[Date]])</f>
        <v>12</v>
      </c>
      <c r="C363" s="89" t="str">
        <f>"S" &amp; WEEKNUM(Table14[[#This Row],[Date]])</f>
        <v>S52</v>
      </c>
    </row>
    <row r="364" spans="1:3" x14ac:dyDescent="0.35">
      <c r="A364" s="12">
        <v>45654</v>
      </c>
      <c r="B364" s="89">
        <f>MONTH(Table14[[#This Row],[Date]])</f>
        <v>12</v>
      </c>
      <c r="C364" s="89" t="str">
        <f>"S" &amp; WEEKNUM(Table14[[#This Row],[Date]])</f>
        <v>S52</v>
      </c>
    </row>
    <row r="365" spans="1:3" x14ac:dyDescent="0.35">
      <c r="A365" s="12">
        <v>45655</v>
      </c>
      <c r="B365" s="89">
        <f>MONTH(Table14[[#This Row],[Date]])</f>
        <v>12</v>
      </c>
      <c r="C365" s="89" t="str">
        <f>"S" &amp; WEEKNUM(Table14[[#This Row],[Date]])</f>
        <v>S53</v>
      </c>
    </row>
    <row r="366" spans="1:3" x14ac:dyDescent="0.35">
      <c r="A366" s="12">
        <v>45656</v>
      </c>
      <c r="B366" s="89">
        <f>MONTH(Table14[[#This Row],[Date]])</f>
        <v>12</v>
      </c>
      <c r="C366" s="89" t="str">
        <f>"S" &amp; WEEKNUM(Table14[[#This Row],[Date]])</f>
        <v>S53</v>
      </c>
    </row>
    <row r="367" spans="1:3" x14ac:dyDescent="0.35">
      <c r="A367" s="12">
        <v>45657</v>
      </c>
      <c r="B367" s="89">
        <f>MONTH(Table14[[#This Row],[Date]])</f>
        <v>12</v>
      </c>
      <c r="C367" s="89" t="str">
        <f>"S" &amp; WEEKNUM(Table14[[#This Row],[Date]])</f>
        <v>S53</v>
      </c>
    </row>
    <row r="368" spans="1:3" x14ac:dyDescent="0.35">
      <c r="A368" s="12">
        <v>45658</v>
      </c>
      <c r="B368" s="89">
        <f>MONTH(Table14[[#This Row],[Date]])</f>
        <v>1</v>
      </c>
      <c r="C368" s="89" t="str">
        <f>"S" &amp; WEEKNUM(Table14[[#This Row],[Date]])</f>
        <v>S1</v>
      </c>
    </row>
    <row r="369" spans="1:3" x14ac:dyDescent="0.35">
      <c r="A369" s="12">
        <v>45659</v>
      </c>
      <c r="B369" s="89">
        <f>MONTH(Table14[[#This Row],[Date]])</f>
        <v>1</v>
      </c>
      <c r="C369" s="89" t="str">
        <f>"S" &amp; WEEKNUM(Table14[[#This Row],[Date]])</f>
        <v>S1</v>
      </c>
    </row>
    <row r="370" spans="1:3" x14ac:dyDescent="0.35">
      <c r="A370" s="12">
        <v>45660</v>
      </c>
      <c r="B370" s="89">
        <f>MONTH(Table14[[#This Row],[Date]])</f>
        <v>1</v>
      </c>
      <c r="C370" s="89" t="str">
        <f>"S" &amp; WEEKNUM(Table14[[#This Row],[Date]])</f>
        <v>S1</v>
      </c>
    </row>
    <row r="371" spans="1:3" x14ac:dyDescent="0.35">
      <c r="A371" s="12">
        <v>45661</v>
      </c>
      <c r="B371" s="89">
        <f>MONTH(Table14[[#This Row],[Date]])</f>
        <v>1</v>
      </c>
      <c r="C371" s="89" t="str">
        <f>"S" &amp; WEEKNUM(Table14[[#This Row],[Date]])</f>
        <v>S1</v>
      </c>
    </row>
    <row r="372" spans="1:3" x14ac:dyDescent="0.35">
      <c r="A372" s="12">
        <v>45662</v>
      </c>
      <c r="B372" s="89">
        <f>MONTH(Table14[[#This Row],[Date]])</f>
        <v>1</v>
      </c>
      <c r="C372" s="89" t="str">
        <f>"S" &amp; WEEKNUM(Table14[[#This Row],[Date]])</f>
        <v>S2</v>
      </c>
    </row>
    <row r="373" spans="1:3" x14ac:dyDescent="0.35">
      <c r="A373" s="12">
        <v>45663</v>
      </c>
      <c r="B373" s="89">
        <f>MONTH(Table14[[#This Row],[Date]])</f>
        <v>1</v>
      </c>
      <c r="C373" s="89" t="str">
        <f>"S" &amp; WEEKNUM(Table14[[#This Row],[Date]])</f>
        <v>S2</v>
      </c>
    </row>
    <row r="374" spans="1:3" x14ac:dyDescent="0.35">
      <c r="A374" s="12">
        <v>45664</v>
      </c>
      <c r="B374" s="89">
        <f>MONTH(Table14[[#This Row],[Date]])</f>
        <v>1</v>
      </c>
      <c r="C374" s="89" t="str">
        <f>"S" &amp; WEEKNUM(Table14[[#This Row],[Date]])</f>
        <v>S2</v>
      </c>
    </row>
    <row r="375" spans="1:3" x14ac:dyDescent="0.35">
      <c r="A375" s="12">
        <v>45665</v>
      </c>
      <c r="B375" s="89">
        <f>MONTH(Table14[[#This Row],[Date]])</f>
        <v>1</v>
      </c>
      <c r="C375" s="89" t="str">
        <f>"S" &amp; WEEKNUM(Table14[[#This Row],[Date]])</f>
        <v>S2</v>
      </c>
    </row>
    <row r="376" spans="1:3" x14ac:dyDescent="0.35">
      <c r="A376" s="12">
        <v>45666</v>
      </c>
      <c r="B376" s="89">
        <f>MONTH(Table14[[#This Row],[Date]])</f>
        <v>1</v>
      </c>
      <c r="C376" s="89" t="str">
        <f>"S" &amp; WEEKNUM(Table14[[#This Row],[Date]])</f>
        <v>S2</v>
      </c>
    </row>
    <row r="377" spans="1:3" x14ac:dyDescent="0.35">
      <c r="A377" s="12">
        <v>45667</v>
      </c>
      <c r="B377" s="89">
        <f>MONTH(Table14[[#This Row],[Date]])</f>
        <v>1</v>
      </c>
      <c r="C377" s="89" t="str">
        <f>"S" &amp; WEEKNUM(Table14[[#This Row],[Date]])</f>
        <v>S2</v>
      </c>
    </row>
    <row r="378" spans="1:3" x14ac:dyDescent="0.35">
      <c r="A378" s="12">
        <v>45668</v>
      </c>
      <c r="B378" s="89">
        <f>MONTH(Table14[[#This Row],[Date]])</f>
        <v>1</v>
      </c>
      <c r="C378" s="89" t="str">
        <f>"S" &amp; WEEKNUM(Table14[[#This Row],[Date]])</f>
        <v>S2</v>
      </c>
    </row>
    <row r="379" spans="1:3" x14ac:dyDescent="0.35">
      <c r="A379" s="12">
        <v>45669</v>
      </c>
      <c r="B379" s="89">
        <f>MONTH(Table14[[#This Row],[Date]])</f>
        <v>1</v>
      </c>
      <c r="C379" s="89" t="str">
        <f>"S" &amp; WEEKNUM(Table14[[#This Row],[Date]])</f>
        <v>S3</v>
      </c>
    </row>
    <row r="380" spans="1:3" x14ac:dyDescent="0.35">
      <c r="A380" s="12">
        <v>45670</v>
      </c>
      <c r="B380" s="89">
        <f>MONTH(Table14[[#This Row],[Date]])</f>
        <v>1</v>
      </c>
      <c r="C380" s="89" t="str">
        <f>"S" &amp; WEEKNUM(Table14[[#This Row],[Date]])</f>
        <v>S3</v>
      </c>
    </row>
    <row r="381" spans="1:3" x14ac:dyDescent="0.35">
      <c r="A381" s="12">
        <v>45671</v>
      </c>
      <c r="B381" s="89">
        <f>MONTH(Table14[[#This Row],[Date]])</f>
        <v>1</v>
      </c>
      <c r="C381" s="89" t="str">
        <f>"S" &amp; WEEKNUM(Table14[[#This Row],[Date]])</f>
        <v>S3</v>
      </c>
    </row>
    <row r="382" spans="1:3" x14ac:dyDescent="0.35">
      <c r="A382" s="12">
        <v>45672</v>
      </c>
      <c r="B382" s="89">
        <f>MONTH(Table14[[#This Row],[Date]])</f>
        <v>1</v>
      </c>
      <c r="C382" s="89" t="str">
        <f>"S" &amp; WEEKNUM(Table14[[#This Row],[Date]])</f>
        <v>S3</v>
      </c>
    </row>
    <row r="383" spans="1:3" x14ac:dyDescent="0.35">
      <c r="A383" s="12">
        <v>45673</v>
      </c>
      <c r="B383" s="89">
        <f>MONTH(Table14[[#This Row],[Date]])</f>
        <v>1</v>
      </c>
      <c r="C383" s="89" t="str">
        <f>"S" &amp; WEEKNUM(Table14[[#This Row],[Date]])</f>
        <v>S3</v>
      </c>
    </row>
    <row r="384" spans="1:3" x14ac:dyDescent="0.35">
      <c r="A384" s="12">
        <v>45674</v>
      </c>
      <c r="B384" s="89">
        <f>MONTH(Table14[[#This Row],[Date]])</f>
        <v>1</v>
      </c>
      <c r="C384" s="89" t="str">
        <f>"S" &amp; WEEKNUM(Table14[[#This Row],[Date]])</f>
        <v>S3</v>
      </c>
    </row>
    <row r="385" spans="1:3" x14ac:dyDescent="0.35">
      <c r="A385" s="12">
        <v>45675</v>
      </c>
      <c r="B385" s="89">
        <f>MONTH(Table14[[#This Row],[Date]])</f>
        <v>1</v>
      </c>
      <c r="C385" s="89" t="str">
        <f>"S" &amp; WEEKNUM(Table14[[#This Row],[Date]])</f>
        <v>S3</v>
      </c>
    </row>
    <row r="386" spans="1:3" x14ac:dyDescent="0.35">
      <c r="A386" s="12">
        <v>45676</v>
      </c>
      <c r="B386" s="89">
        <f>MONTH(Table14[[#This Row],[Date]])</f>
        <v>1</v>
      </c>
      <c r="C386" s="89" t="str">
        <f>"S" &amp; WEEKNUM(Table14[[#This Row],[Date]])</f>
        <v>S4</v>
      </c>
    </row>
    <row r="387" spans="1:3" x14ac:dyDescent="0.35">
      <c r="A387" s="12">
        <v>45677</v>
      </c>
      <c r="B387" s="89">
        <f>MONTH(Table14[[#This Row],[Date]])</f>
        <v>1</v>
      </c>
      <c r="C387" s="89" t="str">
        <f>"S" &amp; WEEKNUM(Table14[[#This Row],[Date]])</f>
        <v>S4</v>
      </c>
    </row>
    <row r="388" spans="1:3" x14ac:dyDescent="0.35">
      <c r="A388" s="12">
        <v>45678</v>
      </c>
      <c r="B388" s="89">
        <f>MONTH(Table14[[#This Row],[Date]])</f>
        <v>1</v>
      </c>
      <c r="C388" s="89" t="str">
        <f>"S" &amp; WEEKNUM(Table14[[#This Row],[Date]])</f>
        <v>S4</v>
      </c>
    </row>
    <row r="389" spans="1:3" x14ac:dyDescent="0.35">
      <c r="A389" s="12">
        <v>45679</v>
      </c>
      <c r="B389" s="89">
        <f>MONTH(Table14[[#This Row],[Date]])</f>
        <v>1</v>
      </c>
      <c r="C389" s="89" t="str">
        <f>"S" &amp; WEEKNUM(Table14[[#This Row],[Date]])</f>
        <v>S4</v>
      </c>
    </row>
    <row r="390" spans="1:3" x14ac:dyDescent="0.35">
      <c r="A390" s="12">
        <v>45680</v>
      </c>
      <c r="B390" s="89">
        <f>MONTH(Table14[[#This Row],[Date]])</f>
        <v>1</v>
      </c>
      <c r="C390" s="89" t="str">
        <f>"S" &amp; WEEKNUM(Table14[[#This Row],[Date]])</f>
        <v>S4</v>
      </c>
    </row>
    <row r="391" spans="1:3" x14ac:dyDescent="0.35">
      <c r="A391" s="12">
        <v>45681</v>
      </c>
      <c r="B391" s="89">
        <f>MONTH(Table14[[#This Row],[Date]])</f>
        <v>1</v>
      </c>
      <c r="C391" s="89" t="str">
        <f>"S" &amp; WEEKNUM(Table14[[#This Row],[Date]])</f>
        <v>S4</v>
      </c>
    </row>
    <row r="392" spans="1:3" x14ac:dyDescent="0.35">
      <c r="A392" s="12">
        <v>45682</v>
      </c>
      <c r="B392" s="89">
        <f>MONTH(Table14[[#This Row],[Date]])</f>
        <v>1</v>
      </c>
      <c r="C392" s="89" t="str">
        <f>"S" &amp; WEEKNUM(Table14[[#This Row],[Date]])</f>
        <v>S4</v>
      </c>
    </row>
    <row r="393" spans="1:3" x14ac:dyDescent="0.35">
      <c r="A393" s="12">
        <v>45683</v>
      </c>
      <c r="B393" s="89">
        <f>MONTH(Table14[[#This Row],[Date]])</f>
        <v>1</v>
      </c>
      <c r="C393" s="89" t="str">
        <f>"S" &amp; WEEKNUM(Table14[[#This Row],[Date]])</f>
        <v>S5</v>
      </c>
    </row>
    <row r="394" spans="1:3" x14ac:dyDescent="0.35">
      <c r="A394" s="12">
        <v>45684</v>
      </c>
      <c r="B394" s="89">
        <f>MONTH(Table14[[#This Row],[Date]])</f>
        <v>1</v>
      </c>
      <c r="C394" s="89" t="str">
        <f>"S" &amp; WEEKNUM(Table14[[#This Row],[Date]])</f>
        <v>S5</v>
      </c>
    </row>
    <row r="395" spans="1:3" x14ac:dyDescent="0.35">
      <c r="A395" s="12">
        <v>45685</v>
      </c>
      <c r="B395" s="89">
        <f>MONTH(Table14[[#This Row],[Date]])</f>
        <v>1</v>
      </c>
      <c r="C395" s="89" t="str">
        <f>"S" &amp; WEEKNUM(Table14[[#This Row],[Date]])</f>
        <v>S5</v>
      </c>
    </row>
    <row r="396" spans="1:3" x14ac:dyDescent="0.35">
      <c r="A396" s="12">
        <v>45686</v>
      </c>
      <c r="B396" s="89">
        <f>MONTH(Table14[[#This Row],[Date]])</f>
        <v>1</v>
      </c>
      <c r="C396" s="89" t="str">
        <f>"S" &amp; WEEKNUM(Table14[[#This Row],[Date]])</f>
        <v>S5</v>
      </c>
    </row>
    <row r="397" spans="1:3" x14ac:dyDescent="0.35">
      <c r="A397" s="12">
        <v>45687</v>
      </c>
      <c r="B397" s="89">
        <f>MONTH(Table14[[#This Row],[Date]])</f>
        <v>1</v>
      </c>
      <c r="C397" s="89" t="str">
        <f>"S" &amp; WEEKNUM(Table14[[#This Row],[Date]])</f>
        <v>S5</v>
      </c>
    </row>
    <row r="398" spans="1:3" x14ac:dyDescent="0.35">
      <c r="A398" s="12">
        <v>45688</v>
      </c>
      <c r="B398" s="89">
        <f>MONTH(Table14[[#This Row],[Date]])</f>
        <v>1</v>
      </c>
      <c r="C398" s="89" t="str">
        <f>"S" &amp; WEEKNUM(Table14[[#This Row],[Date]])</f>
        <v>S5</v>
      </c>
    </row>
    <row r="399" spans="1:3" x14ac:dyDescent="0.35">
      <c r="A399" s="12">
        <v>45689</v>
      </c>
      <c r="B399" s="89">
        <f>MONTH(Table14[[#This Row],[Date]])</f>
        <v>2</v>
      </c>
      <c r="C399" s="89" t="str">
        <f>"S" &amp; WEEKNUM(Table14[[#This Row],[Date]])</f>
        <v>S5</v>
      </c>
    </row>
    <row r="400" spans="1:3" x14ac:dyDescent="0.35">
      <c r="A400" s="12">
        <v>45690</v>
      </c>
      <c r="B400" s="89">
        <f>MONTH(Table14[[#This Row],[Date]])</f>
        <v>2</v>
      </c>
      <c r="C400" s="89" t="str">
        <f>"S" &amp; WEEKNUM(Table14[[#This Row],[Date]])</f>
        <v>S6</v>
      </c>
    </row>
    <row r="401" spans="1:3" x14ac:dyDescent="0.35">
      <c r="A401" s="12">
        <v>45691</v>
      </c>
      <c r="B401" s="89">
        <f>MONTH(Table14[[#This Row],[Date]])</f>
        <v>2</v>
      </c>
      <c r="C401" s="89" t="str">
        <f>"S" &amp; WEEKNUM(Table14[[#This Row],[Date]])</f>
        <v>S6</v>
      </c>
    </row>
    <row r="402" spans="1:3" x14ac:dyDescent="0.35">
      <c r="A402" s="12">
        <v>45692</v>
      </c>
      <c r="B402" s="89">
        <f>MONTH(Table14[[#This Row],[Date]])</f>
        <v>2</v>
      </c>
      <c r="C402" s="89" t="str">
        <f>"S" &amp; WEEKNUM(Table14[[#This Row],[Date]])</f>
        <v>S6</v>
      </c>
    </row>
    <row r="403" spans="1:3" x14ac:dyDescent="0.35">
      <c r="A403" s="12">
        <v>45693</v>
      </c>
      <c r="B403" s="89">
        <f>MONTH(Table14[[#This Row],[Date]])</f>
        <v>2</v>
      </c>
      <c r="C403" s="89" t="str">
        <f>"S" &amp; WEEKNUM(Table14[[#This Row],[Date]])</f>
        <v>S6</v>
      </c>
    </row>
    <row r="404" spans="1:3" x14ac:dyDescent="0.35">
      <c r="A404" s="12">
        <v>45694</v>
      </c>
      <c r="B404" s="89">
        <f>MONTH(Table14[[#This Row],[Date]])</f>
        <v>2</v>
      </c>
      <c r="C404" s="89" t="str">
        <f>"S" &amp; WEEKNUM(Table14[[#This Row],[Date]])</f>
        <v>S6</v>
      </c>
    </row>
    <row r="405" spans="1:3" x14ac:dyDescent="0.35">
      <c r="A405" s="12">
        <v>45695</v>
      </c>
      <c r="B405" s="89">
        <f>MONTH(Table14[[#This Row],[Date]])</f>
        <v>2</v>
      </c>
      <c r="C405" s="89" t="str">
        <f>"S" &amp; WEEKNUM(Table14[[#This Row],[Date]])</f>
        <v>S6</v>
      </c>
    </row>
    <row r="406" spans="1:3" x14ac:dyDescent="0.35">
      <c r="A406" s="12">
        <v>45696</v>
      </c>
      <c r="B406" s="89">
        <f>MONTH(Table14[[#This Row],[Date]])</f>
        <v>2</v>
      </c>
      <c r="C406" s="89" t="str">
        <f>"S" &amp; WEEKNUM(Table14[[#This Row],[Date]])</f>
        <v>S6</v>
      </c>
    </row>
    <row r="407" spans="1:3" x14ac:dyDescent="0.35">
      <c r="A407" s="12">
        <v>45697</v>
      </c>
      <c r="B407" s="89">
        <f>MONTH(Table14[[#This Row],[Date]])</f>
        <v>2</v>
      </c>
      <c r="C407" s="89" t="str">
        <f>"S" &amp; WEEKNUM(Table14[[#This Row],[Date]])</f>
        <v>S7</v>
      </c>
    </row>
    <row r="408" spans="1:3" x14ac:dyDescent="0.35">
      <c r="A408" s="12">
        <v>45698</v>
      </c>
      <c r="B408" s="89">
        <f>MONTH(Table14[[#This Row],[Date]])</f>
        <v>2</v>
      </c>
      <c r="C408" s="89" t="str">
        <f>"S" &amp; WEEKNUM(Table14[[#This Row],[Date]])</f>
        <v>S7</v>
      </c>
    </row>
    <row r="409" spans="1:3" x14ac:dyDescent="0.35">
      <c r="A409" s="12">
        <v>45699</v>
      </c>
      <c r="B409" s="89">
        <f>MONTH(Table14[[#This Row],[Date]])</f>
        <v>2</v>
      </c>
      <c r="C409" s="89" t="str">
        <f>"S" &amp; WEEKNUM(Table14[[#This Row],[Date]])</f>
        <v>S7</v>
      </c>
    </row>
    <row r="410" spans="1:3" x14ac:dyDescent="0.35">
      <c r="A410" s="12">
        <v>45700</v>
      </c>
      <c r="B410" s="89">
        <f>MONTH(Table14[[#This Row],[Date]])</f>
        <v>2</v>
      </c>
      <c r="C410" s="89" t="str">
        <f>"S" &amp; WEEKNUM(Table14[[#This Row],[Date]])</f>
        <v>S7</v>
      </c>
    </row>
    <row r="411" spans="1:3" x14ac:dyDescent="0.35">
      <c r="A411" s="12">
        <v>45701</v>
      </c>
      <c r="B411" s="89">
        <f>MONTH(Table14[[#This Row],[Date]])</f>
        <v>2</v>
      </c>
      <c r="C411" s="89" t="str">
        <f>"S" &amp; WEEKNUM(Table14[[#This Row],[Date]])</f>
        <v>S7</v>
      </c>
    </row>
    <row r="412" spans="1:3" x14ac:dyDescent="0.35">
      <c r="A412" s="12">
        <v>45702</v>
      </c>
      <c r="B412" s="89">
        <f>MONTH(Table14[[#This Row],[Date]])</f>
        <v>2</v>
      </c>
      <c r="C412" s="89" t="str">
        <f>"S" &amp; WEEKNUM(Table14[[#This Row],[Date]])</f>
        <v>S7</v>
      </c>
    </row>
    <row r="413" spans="1:3" x14ac:dyDescent="0.35">
      <c r="A413" s="12">
        <v>45703</v>
      </c>
      <c r="B413" s="89">
        <f>MONTH(Table14[[#This Row],[Date]])</f>
        <v>2</v>
      </c>
      <c r="C413" s="89" t="str">
        <f>"S" &amp; WEEKNUM(Table14[[#This Row],[Date]])</f>
        <v>S7</v>
      </c>
    </row>
    <row r="414" spans="1:3" x14ac:dyDescent="0.35">
      <c r="A414" s="12">
        <v>45704</v>
      </c>
      <c r="B414" s="89">
        <f>MONTH(Table14[[#This Row],[Date]])</f>
        <v>2</v>
      </c>
      <c r="C414" s="89" t="str">
        <f>"S" &amp; WEEKNUM(Table14[[#This Row],[Date]])</f>
        <v>S8</v>
      </c>
    </row>
    <row r="415" spans="1:3" x14ac:dyDescent="0.35">
      <c r="A415" s="12">
        <v>45705</v>
      </c>
      <c r="B415" s="89">
        <f>MONTH(Table14[[#This Row],[Date]])</f>
        <v>2</v>
      </c>
      <c r="C415" s="89" t="str">
        <f>"S" &amp; WEEKNUM(Table14[[#This Row],[Date]])</f>
        <v>S8</v>
      </c>
    </row>
    <row r="416" spans="1:3" x14ac:dyDescent="0.35">
      <c r="A416" s="12">
        <v>45706</v>
      </c>
      <c r="B416" s="89">
        <f>MONTH(Table14[[#This Row],[Date]])</f>
        <v>2</v>
      </c>
      <c r="C416" s="89" t="str">
        <f>"S" &amp; WEEKNUM(Table14[[#This Row],[Date]])</f>
        <v>S8</v>
      </c>
    </row>
    <row r="417" spans="1:3" x14ac:dyDescent="0.35">
      <c r="A417" s="12">
        <v>45707</v>
      </c>
      <c r="B417" s="89">
        <f>MONTH(Table14[[#This Row],[Date]])</f>
        <v>2</v>
      </c>
      <c r="C417" s="89" t="str">
        <f>"S" &amp; WEEKNUM(Table14[[#This Row],[Date]])</f>
        <v>S8</v>
      </c>
    </row>
    <row r="418" spans="1:3" x14ac:dyDescent="0.35">
      <c r="A418" s="12">
        <v>45708</v>
      </c>
      <c r="B418" s="89">
        <f>MONTH(Table14[[#This Row],[Date]])</f>
        <v>2</v>
      </c>
      <c r="C418" s="89" t="str">
        <f>"S" &amp; WEEKNUM(Table14[[#This Row],[Date]])</f>
        <v>S8</v>
      </c>
    </row>
    <row r="419" spans="1:3" x14ac:dyDescent="0.35">
      <c r="A419" s="12">
        <v>45709</v>
      </c>
      <c r="B419" s="89">
        <f>MONTH(Table14[[#This Row],[Date]])</f>
        <v>2</v>
      </c>
      <c r="C419" s="89" t="str">
        <f>"S" &amp; WEEKNUM(Table14[[#This Row],[Date]])</f>
        <v>S8</v>
      </c>
    </row>
    <row r="420" spans="1:3" x14ac:dyDescent="0.35">
      <c r="A420" s="12">
        <v>45710</v>
      </c>
      <c r="B420" s="89">
        <f>MONTH(Table14[[#This Row],[Date]])</f>
        <v>2</v>
      </c>
      <c r="C420" s="89" t="str">
        <f>"S" &amp; WEEKNUM(Table14[[#This Row],[Date]])</f>
        <v>S8</v>
      </c>
    </row>
    <row r="421" spans="1:3" x14ac:dyDescent="0.35">
      <c r="A421" s="12">
        <v>45711</v>
      </c>
      <c r="B421" s="89">
        <f>MONTH(Table14[[#This Row],[Date]])</f>
        <v>2</v>
      </c>
      <c r="C421" s="89" t="str">
        <f>"S" &amp; WEEKNUM(Table14[[#This Row],[Date]])</f>
        <v>S9</v>
      </c>
    </row>
    <row r="422" spans="1:3" x14ac:dyDescent="0.35">
      <c r="A422" s="12">
        <v>45712</v>
      </c>
      <c r="B422" s="89">
        <f>MONTH(Table14[[#This Row],[Date]])</f>
        <v>2</v>
      </c>
      <c r="C422" s="89" t="str">
        <f>"S" &amp; WEEKNUM(Table14[[#This Row],[Date]])</f>
        <v>S9</v>
      </c>
    </row>
    <row r="423" spans="1:3" x14ac:dyDescent="0.35">
      <c r="A423" s="12">
        <v>45713</v>
      </c>
      <c r="B423" s="89">
        <f>MONTH(Table14[[#This Row],[Date]])</f>
        <v>2</v>
      </c>
      <c r="C423" s="89" t="str">
        <f>"S" &amp; WEEKNUM(Table14[[#This Row],[Date]])</f>
        <v>S9</v>
      </c>
    </row>
    <row r="424" spans="1:3" x14ac:dyDescent="0.35">
      <c r="A424" s="12">
        <v>45714</v>
      </c>
      <c r="B424" s="89">
        <f>MONTH(Table14[[#This Row],[Date]])</f>
        <v>2</v>
      </c>
      <c r="C424" s="89" t="str">
        <f>"S" &amp; WEEKNUM(Table14[[#This Row],[Date]])</f>
        <v>S9</v>
      </c>
    </row>
    <row r="425" spans="1:3" x14ac:dyDescent="0.35">
      <c r="A425" s="12">
        <v>45715</v>
      </c>
      <c r="B425" s="89">
        <f>MONTH(Table14[[#This Row],[Date]])</f>
        <v>2</v>
      </c>
      <c r="C425" s="89" t="str">
        <f>"S" &amp; WEEKNUM(Table14[[#This Row],[Date]])</f>
        <v>S9</v>
      </c>
    </row>
    <row r="426" spans="1:3" x14ac:dyDescent="0.35">
      <c r="A426" s="12">
        <v>45716</v>
      </c>
      <c r="B426" s="89">
        <f>MONTH(Table14[[#This Row],[Date]])</f>
        <v>2</v>
      </c>
      <c r="C426" s="89" t="str">
        <f>"S" &amp; WEEKNUM(Table14[[#This Row],[Date]])</f>
        <v>S9</v>
      </c>
    </row>
    <row r="427" spans="1:3" x14ac:dyDescent="0.35">
      <c r="A427" s="12">
        <v>45717</v>
      </c>
      <c r="B427" s="89">
        <f>MONTH(Table14[[#This Row],[Date]])</f>
        <v>3</v>
      </c>
      <c r="C427" s="89" t="str">
        <f>"S" &amp; WEEKNUM(Table14[[#This Row],[Date]])</f>
        <v>S9</v>
      </c>
    </row>
    <row r="428" spans="1:3" x14ac:dyDescent="0.35">
      <c r="A428" s="12">
        <v>45718</v>
      </c>
      <c r="B428" s="89">
        <f>MONTH(Table14[[#This Row],[Date]])</f>
        <v>3</v>
      </c>
      <c r="C428" s="89" t="str">
        <f>"S" &amp; WEEKNUM(Table14[[#This Row],[Date]])</f>
        <v>S10</v>
      </c>
    </row>
    <row r="429" spans="1:3" x14ac:dyDescent="0.35">
      <c r="A429" s="12">
        <v>45719</v>
      </c>
      <c r="B429" s="89">
        <f>MONTH(Table14[[#This Row],[Date]])</f>
        <v>3</v>
      </c>
      <c r="C429" s="89" t="str">
        <f>"S" &amp; WEEKNUM(Table14[[#This Row],[Date]])</f>
        <v>S10</v>
      </c>
    </row>
    <row r="430" spans="1:3" x14ac:dyDescent="0.35">
      <c r="A430" s="12">
        <v>45720</v>
      </c>
      <c r="B430" s="89">
        <f>MONTH(Table14[[#This Row],[Date]])</f>
        <v>3</v>
      </c>
      <c r="C430" s="89" t="str">
        <f>"S" &amp; WEEKNUM(Table14[[#This Row],[Date]])</f>
        <v>S10</v>
      </c>
    </row>
    <row r="431" spans="1:3" x14ac:dyDescent="0.35">
      <c r="A431" s="12">
        <v>45721</v>
      </c>
      <c r="B431" s="89">
        <f>MONTH(Table14[[#This Row],[Date]])</f>
        <v>3</v>
      </c>
      <c r="C431" s="89" t="str">
        <f>"S" &amp; WEEKNUM(Table14[[#This Row],[Date]])</f>
        <v>S10</v>
      </c>
    </row>
    <row r="432" spans="1:3" x14ac:dyDescent="0.35">
      <c r="A432" s="12">
        <v>45722</v>
      </c>
      <c r="B432" s="89">
        <f>MONTH(Table14[[#This Row],[Date]])</f>
        <v>3</v>
      </c>
      <c r="C432" s="89" t="str">
        <f>"S" &amp; WEEKNUM(Table14[[#This Row],[Date]])</f>
        <v>S10</v>
      </c>
    </row>
    <row r="433" spans="1:3" x14ac:dyDescent="0.35">
      <c r="A433" s="12">
        <v>45723</v>
      </c>
      <c r="B433" s="89">
        <f>MONTH(Table14[[#This Row],[Date]])</f>
        <v>3</v>
      </c>
      <c r="C433" s="89" t="str">
        <f>"S" &amp; WEEKNUM(Table14[[#This Row],[Date]])</f>
        <v>S10</v>
      </c>
    </row>
    <row r="434" spans="1:3" x14ac:dyDescent="0.35">
      <c r="A434" s="12">
        <v>45724</v>
      </c>
      <c r="B434" s="89">
        <f>MONTH(Table14[[#This Row],[Date]])</f>
        <v>3</v>
      </c>
      <c r="C434" s="89" t="str">
        <f>"S" &amp; WEEKNUM(Table14[[#This Row],[Date]])</f>
        <v>S10</v>
      </c>
    </row>
    <row r="435" spans="1:3" x14ac:dyDescent="0.35">
      <c r="A435" s="12">
        <v>45725</v>
      </c>
      <c r="B435" s="89">
        <f>MONTH(Table14[[#This Row],[Date]])</f>
        <v>3</v>
      </c>
      <c r="C435" s="89" t="str">
        <f>"S" &amp; WEEKNUM(Table14[[#This Row],[Date]])</f>
        <v>S11</v>
      </c>
    </row>
    <row r="436" spans="1:3" x14ac:dyDescent="0.35">
      <c r="A436" s="12">
        <v>45726</v>
      </c>
      <c r="B436" s="89">
        <f>MONTH(Table14[[#This Row],[Date]])</f>
        <v>3</v>
      </c>
      <c r="C436" s="89" t="str">
        <f>"S" &amp; WEEKNUM(Table14[[#This Row],[Date]])</f>
        <v>S11</v>
      </c>
    </row>
    <row r="437" spans="1:3" x14ac:dyDescent="0.35">
      <c r="A437" s="12">
        <v>45727</v>
      </c>
      <c r="B437" s="89">
        <f>MONTH(Table14[[#This Row],[Date]])</f>
        <v>3</v>
      </c>
      <c r="C437" s="89" t="str">
        <f>"S" &amp; WEEKNUM(Table14[[#This Row],[Date]])</f>
        <v>S11</v>
      </c>
    </row>
    <row r="438" spans="1:3" x14ac:dyDescent="0.35">
      <c r="A438" s="12">
        <v>45728</v>
      </c>
      <c r="B438" s="89">
        <f>MONTH(Table14[[#This Row],[Date]])</f>
        <v>3</v>
      </c>
      <c r="C438" s="89" t="str">
        <f>"S" &amp; WEEKNUM(Table14[[#This Row],[Date]])</f>
        <v>S11</v>
      </c>
    </row>
    <row r="439" spans="1:3" x14ac:dyDescent="0.35">
      <c r="A439" s="12">
        <v>45729</v>
      </c>
      <c r="B439" s="89">
        <f>MONTH(Table14[[#This Row],[Date]])</f>
        <v>3</v>
      </c>
      <c r="C439" s="89" t="str">
        <f>"S" &amp; WEEKNUM(Table14[[#This Row],[Date]])</f>
        <v>S11</v>
      </c>
    </row>
    <row r="440" spans="1:3" x14ac:dyDescent="0.35">
      <c r="A440" s="12">
        <v>45730</v>
      </c>
      <c r="B440" s="89">
        <f>MONTH(Table14[[#This Row],[Date]])</f>
        <v>3</v>
      </c>
      <c r="C440" s="89" t="str">
        <f>"S" &amp; WEEKNUM(Table14[[#This Row],[Date]])</f>
        <v>S11</v>
      </c>
    </row>
    <row r="441" spans="1:3" x14ac:dyDescent="0.35">
      <c r="A441" s="12">
        <v>45731</v>
      </c>
      <c r="B441" s="89">
        <f>MONTH(Table14[[#This Row],[Date]])</f>
        <v>3</v>
      </c>
      <c r="C441" s="89" t="str">
        <f>"S" &amp; WEEKNUM(Table14[[#This Row],[Date]])</f>
        <v>S11</v>
      </c>
    </row>
    <row r="442" spans="1:3" x14ac:dyDescent="0.35">
      <c r="A442" s="12">
        <v>45732</v>
      </c>
      <c r="B442" s="89">
        <f>MONTH(Table14[[#This Row],[Date]])</f>
        <v>3</v>
      </c>
      <c r="C442" s="89" t="str">
        <f>"S" &amp; WEEKNUM(Table14[[#This Row],[Date]])</f>
        <v>S12</v>
      </c>
    </row>
    <row r="443" spans="1:3" x14ac:dyDescent="0.35">
      <c r="A443" s="12">
        <v>45733</v>
      </c>
      <c r="B443" s="89">
        <f>MONTH(Table14[[#This Row],[Date]])</f>
        <v>3</v>
      </c>
      <c r="C443" s="89" t="str">
        <f>"S" &amp; WEEKNUM(Table14[[#This Row],[Date]])</f>
        <v>S12</v>
      </c>
    </row>
    <row r="444" spans="1:3" x14ac:dyDescent="0.35">
      <c r="A444" s="12">
        <v>45734</v>
      </c>
      <c r="B444" s="89">
        <f>MONTH(Table14[[#This Row],[Date]])</f>
        <v>3</v>
      </c>
      <c r="C444" s="89" t="str">
        <f>"S" &amp; WEEKNUM(Table14[[#This Row],[Date]])</f>
        <v>S12</v>
      </c>
    </row>
    <row r="445" spans="1:3" x14ac:dyDescent="0.35">
      <c r="A445" s="12">
        <v>45735</v>
      </c>
      <c r="B445" s="89">
        <f>MONTH(Table14[[#This Row],[Date]])</f>
        <v>3</v>
      </c>
      <c r="C445" s="89" t="str">
        <f>"S" &amp; WEEKNUM(Table14[[#This Row],[Date]])</f>
        <v>S12</v>
      </c>
    </row>
    <row r="446" spans="1:3" x14ac:dyDescent="0.35">
      <c r="A446" s="12">
        <v>45736</v>
      </c>
      <c r="B446" s="89">
        <f>MONTH(Table14[[#This Row],[Date]])</f>
        <v>3</v>
      </c>
      <c r="C446" s="89" t="str">
        <f>"S" &amp; WEEKNUM(Table14[[#This Row],[Date]])</f>
        <v>S12</v>
      </c>
    </row>
    <row r="447" spans="1:3" x14ac:dyDescent="0.35">
      <c r="A447" s="12">
        <v>45737</v>
      </c>
      <c r="B447" s="89">
        <f>MONTH(Table14[[#This Row],[Date]])</f>
        <v>3</v>
      </c>
      <c r="C447" s="89" t="str">
        <f>"S" &amp; WEEKNUM(Table14[[#This Row],[Date]])</f>
        <v>S12</v>
      </c>
    </row>
    <row r="448" spans="1:3" x14ac:dyDescent="0.35">
      <c r="A448" s="12">
        <v>45738</v>
      </c>
      <c r="B448" s="89">
        <f>MONTH(Table14[[#This Row],[Date]])</f>
        <v>3</v>
      </c>
      <c r="C448" s="89" t="str">
        <f>"S" &amp; WEEKNUM(Table14[[#This Row],[Date]])</f>
        <v>S12</v>
      </c>
    </row>
    <row r="449" spans="1:3" x14ac:dyDescent="0.35">
      <c r="A449" s="12">
        <v>45739</v>
      </c>
      <c r="B449" s="89">
        <f>MONTH(Table14[[#This Row],[Date]])</f>
        <v>3</v>
      </c>
      <c r="C449" s="89" t="str">
        <f>"S" &amp; WEEKNUM(Table14[[#This Row],[Date]])</f>
        <v>S13</v>
      </c>
    </row>
    <row r="450" spans="1:3" x14ac:dyDescent="0.35">
      <c r="A450" s="12">
        <v>45740</v>
      </c>
      <c r="B450" s="89">
        <f>MONTH(Table14[[#This Row],[Date]])</f>
        <v>3</v>
      </c>
      <c r="C450" s="89" t="str">
        <f>"S" &amp; WEEKNUM(Table14[[#This Row],[Date]])</f>
        <v>S13</v>
      </c>
    </row>
    <row r="451" spans="1:3" x14ac:dyDescent="0.35">
      <c r="A451" s="12">
        <v>45741</v>
      </c>
      <c r="B451" s="89">
        <f>MONTH(Table14[[#This Row],[Date]])</f>
        <v>3</v>
      </c>
      <c r="C451" s="89" t="str">
        <f>"S" &amp; WEEKNUM(Table14[[#This Row],[Date]])</f>
        <v>S13</v>
      </c>
    </row>
    <row r="452" spans="1:3" x14ac:dyDescent="0.35">
      <c r="A452" s="12">
        <v>45742</v>
      </c>
      <c r="B452" s="89">
        <f>MONTH(Table14[[#This Row],[Date]])</f>
        <v>3</v>
      </c>
      <c r="C452" s="89" t="str">
        <f>"S" &amp; WEEKNUM(Table14[[#This Row],[Date]])</f>
        <v>S13</v>
      </c>
    </row>
    <row r="453" spans="1:3" x14ac:dyDescent="0.35">
      <c r="A453" s="12">
        <v>45743</v>
      </c>
      <c r="B453" s="89">
        <f>MONTH(Table14[[#This Row],[Date]])</f>
        <v>3</v>
      </c>
      <c r="C453" s="89" t="str">
        <f>"S" &amp; WEEKNUM(Table14[[#This Row],[Date]])</f>
        <v>S13</v>
      </c>
    </row>
    <row r="454" spans="1:3" x14ac:dyDescent="0.35">
      <c r="A454" s="12">
        <v>45744</v>
      </c>
      <c r="B454" s="89">
        <f>MONTH(Table14[[#This Row],[Date]])</f>
        <v>3</v>
      </c>
      <c r="C454" s="89" t="str">
        <f>"S" &amp; WEEKNUM(Table14[[#This Row],[Date]])</f>
        <v>S13</v>
      </c>
    </row>
    <row r="455" spans="1:3" x14ac:dyDescent="0.35">
      <c r="A455" s="12">
        <v>45745</v>
      </c>
      <c r="B455" s="89">
        <f>MONTH(Table14[[#This Row],[Date]])</f>
        <v>3</v>
      </c>
      <c r="C455" s="89" t="str">
        <f>"S" &amp; WEEKNUM(Table14[[#This Row],[Date]])</f>
        <v>S13</v>
      </c>
    </row>
    <row r="456" spans="1:3" x14ac:dyDescent="0.35">
      <c r="A456" s="12">
        <v>45746</v>
      </c>
      <c r="B456" s="89">
        <f>MONTH(Table14[[#This Row],[Date]])</f>
        <v>3</v>
      </c>
      <c r="C456" s="89" t="str">
        <f>"S" &amp; WEEKNUM(Table14[[#This Row],[Date]])</f>
        <v>S14</v>
      </c>
    </row>
    <row r="457" spans="1:3" x14ac:dyDescent="0.35">
      <c r="A457" s="12">
        <v>45747</v>
      </c>
      <c r="B457" s="89">
        <f>MONTH(Table14[[#This Row],[Date]])</f>
        <v>3</v>
      </c>
      <c r="C457" s="89" t="str">
        <f>"S" &amp; WEEKNUM(Table14[[#This Row],[Date]])</f>
        <v>S14</v>
      </c>
    </row>
    <row r="458" spans="1:3" x14ac:dyDescent="0.35">
      <c r="A458" s="12">
        <v>45748</v>
      </c>
      <c r="B458" s="89">
        <f>MONTH(Table14[[#This Row],[Date]])</f>
        <v>4</v>
      </c>
      <c r="C458" s="89" t="str">
        <f>"S" &amp; WEEKNUM(Table14[[#This Row],[Date]])</f>
        <v>S14</v>
      </c>
    </row>
    <row r="459" spans="1:3" x14ac:dyDescent="0.35">
      <c r="A459" s="12">
        <v>45749</v>
      </c>
      <c r="B459" s="89">
        <f>MONTH(Table14[[#This Row],[Date]])</f>
        <v>4</v>
      </c>
      <c r="C459" s="89" t="str">
        <f>"S" &amp; WEEKNUM(Table14[[#This Row],[Date]])</f>
        <v>S14</v>
      </c>
    </row>
    <row r="460" spans="1:3" x14ac:dyDescent="0.35">
      <c r="A460" s="12">
        <v>45750</v>
      </c>
      <c r="B460" s="89">
        <f>MONTH(Table14[[#This Row],[Date]])</f>
        <v>4</v>
      </c>
      <c r="C460" s="89" t="str">
        <f>"S" &amp; WEEKNUM(Table14[[#This Row],[Date]])</f>
        <v>S14</v>
      </c>
    </row>
    <row r="461" spans="1:3" x14ac:dyDescent="0.35">
      <c r="A461" s="12">
        <v>45751</v>
      </c>
      <c r="B461" s="89">
        <f>MONTH(Table14[[#This Row],[Date]])</f>
        <v>4</v>
      </c>
      <c r="C461" s="89" t="str">
        <f>"S" &amp; WEEKNUM(Table14[[#This Row],[Date]])</f>
        <v>S14</v>
      </c>
    </row>
    <row r="462" spans="1:3" x14ac:dyDescent="0.35">
      <c r="A462" s="12">
        <v>45752</v>
      </c>
      <c r="B462" s="89">
        <f>MONTH(Table14[[#This Row],[Date]])</f>
        <v>4</v>
      </c>
      <c r="C462" s="89" t="str">
        <f>"S" &amp; WEEKNUM(Table14[[#This Row],[Date]])</f>
        <v>S14</v>
      </c>
    </row>
    <row r="463" spans="1:3" x14ac:dyDescent="0.35">
      <c r="A463" s="12">
        <v>45753</v>
      </c>
      <c r="B463" s="89">
        <f>MONTH(Table14[[#This Row],[Date]])</f>
        <v>4</v>
      </c>
      <c r="C463" s="89" t="str">
        <f>"S" &amp; WEEKNUM(Table14[[#This Row],[Date]])</f>
        <v>S15</v>
      </c>
    </row>
    <row r="464" spans="1:3" x14ac:dyDescent="0.35">
      <c r="A464" s="12">
        <v>45754</v>
      </c>
      <c r="B464" s="89">
        <f>MONTH(Table14[[#This Row],[Date]])</f>
        <v>4</v>
      </c>
      <c r="C464" s="89" t="str">
        <f>"S" &amp; WEEKNUM(Table14[[#This Row],[Date]])</f>
        <v>S15</v>
      </c>
    </row>
    <row r="465" spans="1:3" x14ac:dyDescent="0.35">
      <c r="A465" s="12">
        <v>45755</v>
      </c>
      <c r="B465" s="89">
        <f>MONTH(Table14[[#This Row],[Date]])</f>
        <v>4</v>
      </c>
      <c r="C465" s="89" t="str">
        <f>"S" &amp; WEEKNUM(Table14[[#This Row],[Date]])</f>
        <v>S15</v>
      </c>
    </row>
    <row r="466" spans="1:3" x14ac:dyDescent="0.35">
      <c r="A466" s="12">
        <v>45756</v>
      </c>
      <c r="B466" s="89">
        <f>MONTH(Table14[[#This Row],[Date]])</f>
        <v>4</v>
      </c>
      <c r="C466" s="89" t="str">
        <f>"S" &amp; WEEKNUM(Table14[[#This Row],[Date]])</f>
        <v>S15</v>
      </c>
    </row>
    <row r="467" spans="1:3" x14ac:dyDescent="0.35">
      <c r="A467" s="12">
        <v>45757</v>
      </c>
      <c r="B467" s="89">
        <f>MONTH(Table14[[#This Row],[Date]])</f>
        <v>4</v>
      </c>
      <c r="C467" s="89" t="str">
        <f>"S" &amp; WEEKNUM(Table14[[#This Row],[Date]])</f>
        <v>S15</v>
      </c>
    </row>
    <row r="468" spans="1:3" x14ac:dyDescent="0.35">
      <c r="A468" s="12">
        <v>45758</v>
      </c>
      <c r="B468" s="89">
        <f>MONTH(Table14[[#This Row],[Date]])</f>
        <v>4</v>
      </c>
      <c r="C468" s="89" t="str">
        <f>"S" &amp; WEEKNUM(Table14[[#This Row],[Date]])</f>
        <v>S15</v>
      </c>
    </row>
    <row r="469" spans="1:3" x14ac:dyDescent="0.35">
      <c r="A469" s="12">
        <v>45759</v>
      </c>
      <c r="B469" s="89">
        <f>MONTH(Table14[[#This Row],[Date]])</f>
        <v>4</v>
      </c>
      <c r="C469" s="89" t="str">
        <f>"S" &amp; WEEKNUM(Table14[[#This Row],[Date]])</f>
        <v>S15</v>
      </c>
    </row>
    <row r="470" spans="1:3" x14ac:dyDescent="0.35">
      <c r="A470" s="12">
        <v>45760</v>
      </c>
      <c r="B470" s="89">
        <f>MONTH(Table14[[#This Row],[Date]])</f>
        <v>4</v>
      </c>
      <c r="C470" s="89" t="str">
        <f>"S" &amp; WEEKNUM(Table14[[#This Row],[Date]])</f>
        <v>S16</v>
      </c>
    </row>
    <row r="471" spans="1:3" x14ac:dyDescent="0.35">
      <c r="A471" s="12">
        <v>45761</v>
      </c>
      <c r="B471" s="89">
        <f>MONTH(Table14[[#This Row],[Date]])</f>
        <v>4</v>
      </c>
      <c r="C471" s="89" t="str">
        <f>"S" &amp; WEEKNUM(Table14[[#This Row],[Date]])</f>
        <v>S16</v>
      </c>
    </row>
    <row r="472" spans="1:3" x14ac:dyDescent="0.35">
      <c r="A472" s="12">
        <v>45762</v>
      </c>
      <c r="B472" s="89">
        <f>MONTH(Table14[[#This Row],[Date]])</f>
        <v>4</v>
      </c>
      <c r="C472" s="89" t="str">
        <f>"S" &amp; WEEKNUM(Table14[[#This Row],[Date]])</f>
        <v>S16</v>
      </c>
    </row>
    <row r="473" spans="1:3" x14ac:dyDescent="0.35">
      <c r="A473" s="12">
        <v>45763</v>
      </c>
      <c r="B473" s="89">
        <f>MONTH(Table14[[#This Row],[Date]])</f>
        <v>4</v>
      </c>
      <c r="C473" s="89" t="str">
        <f>"S" &amp; WEEKNUM(Table14[[#This Row],[Date]])</f>
        <v>S16</v>
      </c>
    </row>
    <row r="474" spans="1:3" x14ac:dyDescent="0.35">
      <c r="A474" s="12">
        <v>45764</v>
      </c>
      <c r="B474" s="89">
        <f>MONTH(Table14[[#This Row],[Date]])</f>
        <v>4</v>
      </c>
      <c r="C474" s="89" t="str">
        <f>"S" &amp; WEEKNUM(Table14[[#This Row],[Date]])</f>
        <v>S16</v>
      </c>
    </row>
    <row r="475" spans="1:3" x14ac:dyDescent="0.35">
      <c r="A475" s="12">
        <v>45765</v>
      </c>
      <c r="B475" s="89">
        <f>MONTH(Table14[[#This Row],[Date]])</f>
        <v>4</v>
      </c>
      <c r="C475" s="89" t="str">
        <f>"S" &amp; WEEKNUM(Table14[[#This Row],[Date]])</f>
        <v>S16</v>
      </c>
    </row>
    <row r="476" spans="1:3" x14ac:dyDescent="0.35">
      <c r="A476" s="12">
        <v>45766</v>
      </c>
      <c r="B476" s="89">
        <f>MONTH(Table14[[#This Row],[Date]])</f>
        <v>4</v>
      </c>
      <c r="C476" s="89" t="str">
        <f>"S" &amp; WEEKNUM(Table14[[#This Row],[Date]])</f>
        <v>S16</v>
      </c>
    </row>
    <row r="477" spans="1:3" x14ac:dyDescent="0.35">
      <c r="A477" s="12">
        <v>45767</v>
      </c>
      <c r="B477" s="89">
        <f>MONTH(Table14[[#This Row],[Date]])</f>
        <v>4</v>
      </c>
      <c r="C477" s="89" t="str">
        <f>"S" &amp; WEEKNUM(Table14[[#This Row],[Date]])</f>
        <v>S17</v>
      </c>
    </row>
    <row r="478" spans="1:3" x14ac:dyDescent="0.35">
      <c r="A478" s="12">
        <v>45768</v>
      </c>
      <c r="B478" s="89">
        <f>MONTH(Table14[[#This Row],[Date]])</f>
        <v>4</v>
      </c>
      <c r="C478" s="89" t="str">
        <f>"S" &amp; WEEKNUM(Table14[[#This Row],[Date]])</f>
        <v>S17</v>
      </c>
    </row>
    <row r="479" spans="1:3" x14ac:dyDescent="0.35">
      <c r="A479" s="12">
        <v>45769</v>
      </c>
      <c r="B479" s="89">
        <f>MONTH(Table14[[#This Row],[Date]])</f>
        <v>4</v>
      </c>
      <c r="C479" s="89" t="str">
        <f>"S" &amp; WEEKNUM(Table14[[#This Row],[Date]])</f>
        <v>S17</v>
      </c>
    </row>
    <row r="480" spans="1:3" x14ac:dyDescent="0.35">
      <c r="A480" s="12">
        <v>45770</v>
      </c>
      <c r="B480" s="89">
        <f>MONTH(Table14[[#This Row],[Date]])</f>
        <v>4</v>
      </c>
      <c r="C480" s="89" t="str">
        <f>"S" &amp; WEEKNUM(Table14[[#This Row],[Date]])</f>
        <v>S17</v>
      </c>
    </row>
    <row r="481" spans="1:3" x14ac:dyDescent="0.35">
      <c r="A481" s="12">
        <v>45771</v>
      </c>
      <c r="B481" s="89">
        <f>MONTH(Table14[[#This Row],[Date]])</f>
        <v>4</v>
      </c>
      <c r="C481" s="89" t="str">
        <f>"S" &amp; WEEKNUM(Table14[[#This Row],[Date]])</f>
        <v>S17</v>
      </c>
    </row>
    <row r="482" spans="1:3" x14ac:dyDescent="0.35">
      <c r="A482" s="12">
        <v>45772</v>
      </c>
      <c r="B482" s="89">
        <f>MONTH(Table14[[#This Row],[Date]])</f>
        <v>4</v>
      </c>
      <c r="C482" s="89" t="str">
        <f>"S" &amp; WEEKNUM(Table14[[#This Row],[Date]])</f>
        <v>S17</v>
      </c>
    </row>
    <row r="483" spans="1:3" x14ac:dyDescent="0.35">
      <c r="A483" s="12">
        <v>45773</v>
      </c>
      <c r="B483" s="89">
        <f>MONTH(Table14[[#This Row],[Date]])</f>
        <v>4</v>
      </c>
      <c r="C483" s="89" t="str">
        <f>"S" &amp; WEEKNUM(Table14[[#This Row],[Date]])</f>
        <v>S17</v>
      </c>
    </row>
    <row r="484" spans="1:3" x14ac:dyDescent="0.35">
      <c r="A484" s="12">
        <v>45774</v>
      </c>
      <c r="B484" s="89">
        <f>MONTH(Table14[[#This Row],[Date]])</f>
        <v>4</v>
      </c>
      <c r="C484" s="89" t="str">
        <f>"S" &amp; WEEKNUM(Table14[[#This Row],[Date]])</f>
        <v>S18</v>
      </c>
    </row>
    <row r="485" spans="1:3" x14ac:dyDescent="0.35">
      <c r="A485" s="12">
        <v>45775</v>
      </c>
      <c r="B485" s="89">
        <f>MONTH(Table14[[#This Row],[Date]])</f>
        <v>4</v>
      </c>
      <c r="C485" s="89" t="str">
        <f>"S" &amp; WEEKNUM(Table14[[#This Row],[Date]])</f>
        <v>S18</v>
      </c>
    </row>
    <row r="486" spans="1:3" x14ac:dyDescent="0.35">
      <c r="A486" s="12">
        <v>45776</v>
      </c>
      <c r="B486" s="89">
        <f>MONTH(Table14[[#This Row],[Date]])</f>
        <v>4</v>
      </c>
      <c r="C486" s="89" t="str">
        <f>"S" &amp; WEEKNUM(Table14[[#This Row],[Date]])</f>
        <v>S18</v>
      </c>
    </row>
    <row r="487" spans="1:3" x14ac:dyDescent="0.35">
      <c r="A487" s="12">
        <v>45777</v>
      </c>
      <c r="B487" s="89">
        <f>MONTH(Table14[[#This Row],[Date]])</f>
        <v>4</v>
      </c>
      <c r="C487" s="89" t="str">
        <f>"S" &amp; WEEKNUM(Table14[[#This Row],[Date]])</f>
        <v>S18</v>
      </c>
    </row>
    <row r="488" spans="1:3" x14ac:dyDescent="0.35">
      <c r="A488" s="12">
        <v>45778</v>
      </c>
      <c r="B488" s="89">
        <f>MONTH(Table14[[#This Row],[Date]])</f>
        <v>5</v>
      </c>
      <c r="C488" s="89" t="str">
        <f>"S" &amp; WEEKNUM(Table14[[#This Row],[Date]])</f>
        <v>S18</v>
      </c>
    </row>
    <row r="489" spans="1:3" x14ac:dyDescent="0.35">
      <c r="A489" s="12">
        <v>45779</v>
      </c>
      <c r="B489" s="89">
        <f>MONTH(Table14[[#This Row],[Date]])</f>
        <v>5</v>
      </c>
      <c r="C489" s="89" t="str">
        <f>"S" &amp; WEEKNUM(Table14[[#This Row],[Date]])</f>
        <v>S18</v>
      </c>
    </row>
    <row r="490" spans="1:3" x14ac:dyDescent="0.35">
      <c r="A490" s="12">
        <v>45780</v>
      </c>
      <c r="B490" s="89">
        <f>MONTH(Table14[[#This Row],[Date]])</f>
        <v>5</v>
      </c>
      <c r="C490" s="89" t="str">
        <f>"S" &amp; WEEKNUM(Table14[[#This Row],[Date]])</f>
        <v>S18</v>
      </c>
    </row>
    <row r="491" spans="1:3" x14ac:dyDescent="0.35">
      <c r="A491" s="12">
        <v>45781</v>
      </c>
      <c r="B491" s="89">
        <f>MONTH(Table14[[#This Row],[Date]])</f>
        <v>5</v>
      </c>
      <c r="C491" s="89" t="str">
        <f>"S" &amp; WEEKNUM(Table14[[#This Row],[Date]])</f>
        <v>S19</v>
      </c>
    </row>
    <row r="492" spans="1:3" x14ac:dyDescent="0.35">
      <c r="A492" s="12">
        <v>45782</v>
      </c>
      <c r="B492" s="89">
        <f>MONTH(Table14[[#This Row],[Date]])</f>
        <v>5</v>
      </c>
      <c r="C492" s="89" t="str">
        <f>"S" &amp; WEEKNUM(Table14[[#This Row],[Date]])</f>
        <v>S19</v>
      </c>
    </row>
    <row r="493" spans="1:3" x14ac:dyDescent="0.35">
      <c r="A493" s="12">
        <v>45783</v>
      </c>
      <c r="B493" s="89">
        <f>MONTH(Table14[[#This Row],[Date]])</f>
        <v>5</v>
      </c>
      <c r="C493" s="89" t="str">
        <f>"S" &amp; WEEKNUM(Table14[[#This Row],[Date]])</f>
        <v>S19</v>
      </c>
    </row>
    <row r="494" spans="1:3" x14ac:dyDescent="0.35">
      <c r="A494" s="12">
        <v>45784</v>
      </c>
      <c r="B494" s="89">
        <f>MONTH(Table14[[#This Row],[Date]])</f>
        <v>5</v>
      </c>
      <c r="C494" s="89" t="str">
        <f>"S" &amp; WEEKNUM(Table14[[#This Row],[Date]])</f>
        <v>S19</v>
      </c>
    </row>
    <row r="495" spans="1:3" x14ac:dyDescent="0.35">
      <c r="A495" s="12">
        <v>45785</v>
      </c>
      <c r="B495" s="89">
        <f>MONTH(Table14[[#This Row],[Date]])</f>
        <v>5</v>
      </c>
      <c r="C495" s="89" t="str">
        <f>"S" &amp; WEEKNUM(Table14[[#This Row],[Date]])</f>
        <v>S19</v>
      </c>
    </row>
    <row r="496" spans="1:3" x14ac:dyDescent="0.35">
      <c r="A496" s="12">
        <v>45786</v>
      </c>
      <c r="B496" s="89">
        <f>MONTH(Table14[[#This Row],[Date]])</f>
        <v>5</v>
      </c>
      <c r="C496" s="89" t="str">
        <f>"S" &amp; WEEKNUM(Table14[[#This Row],[Date]])</f>
        <v>S19</v>
      </c>
    </row>
    <row r="497" spans="1:3" x14ac:dyDescent="0.35">
      <c r="A497" s="12">
        <v>45787</v>
      </c>
      <c r="B497" s="89">
        <f>MONTH(Table14[[#This Row],[Date]])</f>
        <v>5</v>
      </c>
      <c r="C497" s="89" t="str">
        <f>"S" &amp; WEEKNUM(Table14[[#This Row],[Date]])</f>
        <v>S19</v>
      </c>
    </row>
    <row r="498" spans="1:3" x14ac:dyDescent="0.35">
      <c r="A498" s="12">
        <v>45788</v>
      </c>
      <c r="B498" s="89">
        <f>MONTH(Table14[[#This Row],[Date]])</f>
        <v>5</v>
      </c>
      <c r="C498" s="89" t="str">
        <f>"S" &amp; WEEKNUM(Table14[[#This Row],[Date]])</f>
        <v>S20</v>
      </c>
    </row>
    <row r="499" spans="1:3" x14ac:dyDescent="0.35">
      <c r="A499" s="12">
        <v>45789</v>
      </c>
      <c r="B499" s="89">
        <f>MONTH(Table14[[#This Row],[Date]])</f>
        <v>5</v>
      </c>
      <c r="C499" s="89" t="str">
        <f>"S" &amp; WEEKNUM(Table14[[#This Row],[Date]])</f>
        <v>S20</v>
      </c>
    </row>
    <row r="500" spans="1:3" x14ac:dyDescent="0.35">
      <c r="A500" s="12">
        <v>45790</v>
      </c>
      <c r="B500" s="89">
        <f>MONTH(Table14[[#This Row],[Date]])</f>
        <v>5</v>
      </c>
      <c r="C500" s="89" t="str">
        <f>"S" &amp; WEEKNUM(Table14[[#This Row],[Date]])</f>
        <v>S20</v>
      </c>
    </row>
    <row r="501" spans="1:3" x14ac:dyDescent="0.35">
      <c r="A501" s="12">
        <v>45791</v>
      </c>
      <c r="B501" s="89">
        <f>MONTH(Table14[[#This Row],[Date]])</f>
        <v>5</v>
      </c>
      <c r="C501" s="89" t="str">
        <f>"S" &amp; WEEKNUM(Table14[[#This Row],[Date]])</f>
        <v>S20</v>
      </c>
    </row>
    <row r="502" spans="1:3" x14ac:dyDescent="0.35">
      <c r="A502" s="12">
        <v>45792</v>
      </c>
      <c r="B502" s="89">
        <f>MONTH(Table14[[#This Row],[Date]])</f>
        <v>5</v>
      </c>
      <c r="C502" s="89" t="str">
        <f>"S" &amp; WEEKNUM(Table14[[#This Row],[Date]])</f>
        <v>S20</v>
      </c>
    </row>
    <row r="503" spans="1:3" x14ac:dyDescent="0.35">
      <c r="A503" s="12">
        <v>45793</v>
      </c>
      <c r="B503" s="89">
        <f>MONTH(Table14[[#This Row],[Date]])</f>
        <v>5</v>
      </c>
      <c r="C503" s="89" t="str">
        <f>"S" &amp; WEEKNUM(Table14[[#This Row],[Date]])</f>
        <v>S20</v>
      </c>
    </row>
    <row r="504" spans="1:3" x14ac:dyDescent="0.35">
      <c r="A504" s="12">
        <v>45794</v>
      </c>
      <c r="B504" s="89">
        <f>MONTH(Table14[[#This Row],[Date]])</f>
        <v>5</v>
      </c>
      <c r="C504" s="89" t="str">
        <f>"S" &amp; WEEKNUM(Table14[[#This Row],[Date]])</f>
        <v>S20</v>
      </c>
    </row>
    <row r="505" spans="1:3" x14ac:dyDescent="0.35">
      <c r="A505" s="12">
        <v>45795</v>
      </c>
      <c r="B505" s="89">
        <f>MONTH(Table14[[#This Row],[Date]])</f>
        <v>5</v>
      </c>
      <c r="C505" s="89" t="str">
        <f>"S" &amp; WEEKNUM(Table14[[#This Row],[Date]])</f>
        <v>S21</v>
      </c>
    </row>
    <row r="506" spans="1:3" x14ac:dyDescent="0.35">
      <c r="A506" s="12">
        <v>45796</v>
      </c>
      <c r="B506" s="89">
        <f>MONTH(Table14[[#This Row],[Date]])</f>
        <v>5</v>
      </c>
      <c r="C506" s="89" t="str">
        <f>"S" &amp; WEEKNUM(Table14[[#This Row],[Date]])</f>
        <v>S21</v>
      </c>
    </row>
    <row r="507" spans="1:3" x14ac:dyDescent="0.35">
      <c r="A507" s="12">
        <v>45797</v>
      </c>
      <c r="B507" s="89">
        <f>MONTH(Table14[[#This Row],[Date]])</f>
        <v>5</v>
      </c>
      <c r="C507" s="89" t="str">
        <f>"S" &amp; WEEKNUM(Table14[[#This Row],[Date]])</f>
        <v>S21</v>
      </c>
    </row>
    <row r="508" spans="1:3" x14ac:dyDescent="0.35">
      <c r="A508" s="12">
        <v>45798</v>
      </c>
      <c r="B508" s="89">
        <f>MONTH(Table14[[#This Row],[Date]])</f>
        <v>5</v>
      </c>
      <c r="C508" s="89" t="str">
        <f>"S" &amp; WEEKNUM(Table14[[#This Row],[Date]])</f>
        <v>S21</v>
      </c>
    </row>
    <row r="509" spans="1:3" x14ac:dyDescent="0.35">
      <c r="A509" s="12">
        <v>45799</v>
      </c>
      <c r="B509" s="89">
        <f>MONTH(Table14[[#This Row],[Date]])</f>
        <v>5</v>
      </c>
      <c r="C509" s="89" t="str">
        <f>"S" &amp; WEEKNUM(Table14[[#This Row],[Date]])</f>
        <v>S21</v>
      </c>
    </row>
    <row r="510" spans="1:3" x14ac:dyDescent="0.35">
      <c r="A510" s="12">
        <v>45800</v>
      </c>
      <c r="B510" s="89">
        <f>MONTH(Table14[[#This Row],[Date]])</f>
        <v>5</v>
      </c>
      <c r="C510" s="89" t="str">
        <f>"S" &amp; WEEKNUM(Table14[[#This Row],[Date]])</f>
        <v>S21</v>
      </c>
    </row>
    <row r="511" spans="1:3" x14ac:dyDescent="0.35">
      <c r="A511" s="12">
        <v>45801</v>
      </c>
      <c r="B511" s="89">
        <f>MONTH(Table14[[#This Row],[Date]])</f>
        <v>5</v>
      </c>
      <c r="C511" s="89" t="str">
        <f>"S" &amp; WEEKNUM(Table14[[#This Row],[Date]])</f>
        <v>S21</v>
      </c>
    </row>
    <row r="512" spans="1:3" x14ac:dyDescent="0.35">
      <c r="A512" s="12">
        <v>45802</v>
      </c>
      <c r="B512" s="89">
        <f>MONTH(Table14[[#This Row],[Date]])</f>
        <v>5</v>
      </c>
      <c r="C512" s="89" t="str">
        <f>"S" &amp; WEEKNUM(Table14[[#This Row],[Date]])</f>
        <v>S22</v>
      </c>
    </row>
    <row r="513" spans="1:3" x14ac:dyDescent="0.35">
      <c r="A513" s="12">
        <v>45803</v>
      </c>
      <c r="B513" s="89">
        <f>MONTH(Table14[[#This Row],[Date]])</f>
        <v>5</v>
      </c>
      <c r="C513" s="89" t="str">
        <f>"S" &amp; WEEKNUM(Table14[[#This Row],[Date]])</f>
        <v>S22</v>
      </c>
    </row>
    <row r="514" spans="1:3" x14ac:dyDescent="0.35">
      <c r="A514" s="12">
        <v>45804</v>
      </c>
      <c r="B514" s="89">
        <f>MONTH(Table14[[#This Row],[Date]])</f>
        <v>5</v>
      </c>
      <c r="C514" s="89" t="str">
        <f>"S" &amp; WEEKNUM(Table14[[#This Row],[Date]])</f>
        <v>S22</v>
      </c>
    </row>
    <row r="515" spans="1:3" x14ac:dyDescent="0.35">
      <c r="A515" s="12">
        <v>45805</v>
      </c>
      <c r="B515" s="89">
        <f>MONTH(Table14[[#This Row],[Date]])</f>
        <v>5</v>
      </c>
      <c r="C515" s="89" t="str">
        <f>"S" &amp; WEEKNUM(Table14[[#This Row],[Date]])</f>
        <v>S22</v>
      </c>
    </row>
    <row r="516" spans="1:3" x14ac:dyDescent="0.35">
      <c r="A516" s="12">
        <v>45806</v>
      </c>
      <c r="B516" s="89">
        <f>MONTH(Table14[[#This Row],[Date]])</f>
        <v>5</v>
      </c>
      <c r="C516" s="89" t="str">
        <f>"S" &amp; WEEKNUM(Table14[[#This Row],[Date]])</f>
        <v>S22</v>
      </c>
    </row>
    <row r="517" spans="1:3" x14ac:dyDescent="0.35">
      <c r="A517" s="12">
        <v>45807</v>
      </c>
      <c r="B517" s="89">
        <f>MONTH(Table14[[#This Row],[Date]])</f>
        <v>5</v>
      </c>
      <c r="C517" s="89" t="str">
        <f>"S" &amp; WEEKNUM(Table14[[#This Row],[Date]])</f>
        <v>S22</v>
      </c>
    </row>
    <row r="518" spans="1:3" x14ac:dyDescent="0.35">
      <c r="A518" s="12">
        <v>45808</v>
      </c>
      <c r="B518" s="89">
        <f>MONTH(Table14[[#This Row],[Date]])</f>
        <v>5</v>
      </c>
      <c r="C518" s="89" t="str">
        <f>"S" &amp; WEEKNUM(Table14[[#This Row],[Date]])</f>
        <v>S22</v>
      </c>
    </row>
    <row r="519" spans="1:3" x14ac:dyDescent="0.35">
      <c r="A519" s="12">
        <v>45809</v>
      </c>
      <c r="B519" s="89">
        <f>MONTH(Table14[[#This Row],[Date]])</f>
        <v>6</v>
      </c>
      <c r="C519" s="89" t="str">
        <f>"S" &amp; WEEKNUM(Table14[[#This Row],[Date]])</f>
        <v>S23</v>
      </c>
    </row>
    <row r="520" spans="1:3" x14ac:dyDescent="0.35">
      <c r="A520" s="12">
        <v>45810</v>
      </c>
      <c r="B520" s="89">
        <f>MONTH(Table14[[#This Row],[Date]])</f>
        <v>6</v>
      </c>
      <c r="C520" s="89" t="str">
        <f>"S" &amp; WEEKNUM(Table14[[#This Row],[Date]])</f>
        <v>S23</v>
      </c>
    </row>
    <row r="521" spans="1:3" x14ac:dyDescent="0.35">
      <c r="A521" s="12">
        <v>45811</v>
      </c>
      <c r="B521" s="89">
        <f>MONTH(Table14[[#This Row],[Date]])</f>
        <v>6</v>
      </c>
      <c r="C521" s="89" t="str">
        <f>"S" &amp; WEEKNUM(Table14[[#This Row],[Date]])</f>
        <v>S23</v>
      </c>
    </row>
    <row r="522" spans="1:3" x14ac:dyDescent="0.35">
      <c r="A522" s="12">
        <v>45812</v>
      </c>
      <c r="B522" s="89">
        <f>MONTH(Table14[[#This Row],[Date]])</f>
        <v>6</v>
      </c>
      <c r="C522" s="89" t="str">
        <f>"S" &amp; WEEKNUM(Table14[[#This Row],[Date]])</f>
        <v>S23</v>
      </c>
    </row>
    <row r="523" spans="1:3" x14ac:dyDescent="0.35">
      <c r="A523" s="12">
        <v>45813</v>
      </c>
      <c r="B523" s="89">
        <f>MONTH(Table14[[#This Row],[Date]])</f>
        <v>6</v>
      </c>
      <c r="C523" s="89" t="str">
        <f>"S" &amp; WEEKNUM(Table14[[#This Row],[Date]])</f>
        <v>S23</v>
      </c>
    </row>
    <row r="524" spans="1:3" x14ac:dyDescent="0.35">
      <c r="A524" s="12">
        <v>45814</v>
      </c>
      <c r="B524" s="89">
        <f>MONTH(Table14[[#This Row],[Date]])</f>
        <v>6</v>
      </c>
      <c r="C524" s="89" t="str">
        <f>"S" &amp; WEEKNUM(Table14[[#This Row],[Date]])</f>
        <v>S23</v>
      </c>
    </row>
    <row r="525" spans="1:3" x14ac:dyDescent="0.35">
      <c r="A525" s="12">
        <v>45815</v>
      </c>
      <c r="B525" s="89">
        <f>MONTH(Table14[[#This Row],[Date]])</f>
        <v>6</v>
      </c>
      <c r="C525" s="89" t="str">
        <f>"S" &amp; WEEKNUM(Table14[[#This Row],[Date]])</f>
        <v>S23</v>
      </c>
    </row>
    <row r="526" spans="1:3" x14ac:dyDescent="0.35">
      <c r="A526" s="12">
        <v>45816</v>
      </c>
      <c r="B526" s="89">
        <f>MONTH(Table14[[#This Row],[Date]])</f>
        <v>6</v>
      </c>
      <c r="C526" s="89" t="str">
        <f>"S" &amp; WEEKNUM(Table14[[#This Row],[Date]])</f>
        <v>S24</v>
      </c>
    </row>
    <row r="527" spans="1:3" x14ac:dyDescent="0.35">
      <c r="A527" s="12">
        <v>45817</v>
      </c>
      <c r="B527" s="89">
        <f>MONTH(Table14[[#This Row],[Date]])</f>
        <v>6</v>
      </c>
      <c r="C527" s="89" t="str">
        <f>"S" &amp; WEEKNUM(Table14[[#This Row],[Date]])</f>
        <v>S24</v>
      </c>
    </row>
    <row r="528" spans="1:3" x14ac:dyDescent="0.35">
      <c r="A528" s="12">
        <v>45818</v>
      </c>
      <c r="B528" s="89">
        <f>MONTH(Table14[[#This Row],[Date]])</f>
        <v>6</v>
      </c>
      <c r="C528" s="89" t="str">
        <f>"S" &amp; WEEKNUM(Table14[[#This Row],[Date]])</f>
        <v>S24</v>
      </c>
    </row>
    <row r="529" spans="1:3" x14ac:dyDescent="0.35">
      <c r="A529" s="12">
        <v>45819</v>
      </c>
      <c r="B529" s="89">
        <f>MONTH(Table14[[#This Row],[Date]])</f>
        <v>6</v>
      </c>
      <c r="C529" s="89" t="str">
        <f>"S" &amp; WEEKNUM(Table14[[#This Row],[Date]])</f>
        <v>S24</v>
      </c>
    </row>
    <row r="530" spans="1:3" x14ac:dyDescent="0.35">
      <c r="A530" s="12">
        <v>45820</v>
      </c>
      <c r="B530" s="89">
        <f>MONTH(Table14[[#This Row],[Date]])</f>
        <v>6</v>
      </c>
      <c r="C530" s="89" t="str">
        <f>"S" &amp; WEEKNUM(Table14[[#This Row],[Date]])</f>
        <v>S24</v>
      </c>
    </row>
    <row r="531" spans="1:3" x14ac:dyDescent="0.35">
      <c r="A531" s="12">
        <v>45821</v>
      </c>
      <c r="B531" s="89">
        <f>MONTH(Table14[[#This Row],[Date]])</f>
        <v>6</v>
      </c>
      <c r="C531" s="89" t="str">
        <f>"S" &amp; WEEKNUM(Table14[[#This Row],[Date]])</f>
        <v>S24</v>
      </c>
    </row>
    <row r="532" spans="1:3" x14ac:dyDescent="0.35">
      <c r="A532" s="12">
        <v>45822</v>
      </c>
      <c r="B532" s="89">
        <f>MONTH(Table14[[#This Row],[Date]])</f>
        <v>6</v>
      </c>
      <c r="C532" s="89" t="str">
        <f>"S" &amp; WEEKNUM(Table14[[#This Row],[Date]])</f>
        <v>S24</v>
      </c>
    </row>
    <row r="533" spans="1:3" x14ac:dyDescent="0.35">
      <c r="A533" s="12">
        <v>45823</v>
      </c>
      <c r="B533" s="89">
        <f>MONTH(Table14[[#This Row],[Date]])</f>
        <v>6</v>
      </c>
      <c r="C533" s="89" t="str">
        <f>"S" &amp; WEEKNUM(Table14[[#This Row],[Date]])</f>
        <v>S25</v>
      </c>
    </row>
    <row r="534" spans="1:3" x14ac:dyDescent="0.35">
      <c r="A534" s="12">
        <v>45824</v>
      </c>
      <c r="B534" s="89">
        <f>MONTH(Table14[[#This Row],[Date]])</f>
        <v>6</v>
      </c>
      <c r="C534" s="89" t="str">
        <f>"S" &amp; WEEKNUM(Table14[[#This Row],[Date]])</f>
        <v>S25</v>
      </c>
    </row>
    <row r="535" spans="1:3" x14ac:dyDescent="0.35">
      <c r="A535" s="12">
        <v>45825</v>
      </c>
      <c r="B535" s="89">
        <f>MONTH(Table14[[#This Row],[Date]])</f>
        <v>6</v>
      </c>
      <c r="C535" s="89" t="str">
        <f>"S" &amp; WEEKNUM(Table14[[#This Row],[Date]])</f>
        <v>S25</v>
      </c>
    </row>
    <row r="536" spans="1:3" x14ac:dyDescent="0.35">
      <c r="A536" s="12">
        <v>45826</v>
      </c>
      <c r="B536" s="89">
        <f>MONTH(Table14[[#This Row],[Date]])</f>
        <v>6</v>
      </c>
      <c r="C536" s="89" t="str">
        <f>"S" &amp; WEEKNUM(Table14[[#This Row],[Date]])</f>
        <v>S25</v>
      </c>
    </row>
    <row r="537" spans="1:3" x14ac:dyDescent="0.35">
      <c r="A537" s="12">
        <v>45827</v>
      </c>
      <c r="B537" s="89">
        <f>MONTH(Table14[[#This Row],[Date]])</f>
        <v>6</v>
      </c>
      <c r="C537" s="89" t="str">
        <f>"S" &amp; WEEKNUM(Table14[[#This Row],[Date]])</f>
        <v>S25</v>
      </c>
    </row>
    <row r="538" spans="1:3" x14ac:dyDescent="0.35">
      <c r="A538" s="12">
        <v>45828</v>
      </c>
      <c r="B538" s="89">
        <f>MONTH(Table14[[#This Row],[Date]])</f>
        <v>6</v>
      </c>
      <c r="C538" s="89" t="str">
        <f>"S" &amp; WEEKNUM(Table14[[#This Row],[Date]])</f>
        <v>S25</v>
      </c>
    </row>
    <row r="539" spans="1:3" x14ac:dyDescent="0.35">
      <c r="A539" s="12">
        <v>45829</v>
      </c>
      <c r="B539" s="89">
        <f>MONTH(Table14[[#This Row],[Date]])</f>
        <v>6</v>
      </c>
      <c r="C539" s="89" t="str">
        <f>"S" &amp; WEEKNUM(Table14[[#This Row],[Date]])</f>
        <v>S25</v>
      </c>
    </row>
    <row r="540" spans="1:3" x14ac:dyDescent="0.35">
      <c r="A540" s="12">
        <v>45830</v>
      </c>
      <c r="B540" s="89">
        <f>MONTH(Table14[[#This Row],[Date]])</f>
        <v>6</v>
      </c>
      <c r="C540" s="89" t="str">
        <f>"S" &amp; WEEKNUM(Table14[[#This Row],[Date]])</f>
        <v>S26</v>
      </c>
    </row>
    <row r="541" spans="1:3" x14ac:dyDescent="0.35">
      <c r="A541" s="12">
        <v>45831</v>
      </c>
      <c r="B541" s="89">
        <f>MONTH(Table14[[#This Row],[Date]])</f>
        <v>6</v>
      </c>
      <c r="C541" s="89" t="str">
        <f>"S" &amp; WEEKNUM(Table14[[#This Row],[Date]])</f>
        <v>S26</v>
      </c>
    </row>
    <row r="542" spans="1:3" x14ac:dyDescent="0.35">
      <c r="A542" s="12">
        <v>45832</v>
      </c>
      <c r="B542" s="89">
        <f>MONTH(Table14[[#This Row],[Date]])</f>
        <v>6</v>
      </c>
      <c r="C542" s="89" t="str">
        <f>"S" &amp; WEEKNUM(Table14[[#This Row],[Date]])</f>
        <v>S26</v>
      </c>
    </row>
    <row r="543" spans="1:3" x14ac:dyDescent="0.35">
      <c r="A543" s="12">
        <v>45833</v>
      </c>
      <c r="B543" s="89">
        <f>MONTH(Table14[[#This Row],[Date]])</f>
        <v>6</v>
      </c>
      <c r="C543" s="89" t="str">
        <f>"S" &amp; WEEKNUM(Table14[[#This Row],[Date]])</f>
        <v>S26</v>
      </c>
    </row>
    <row r="544" spans="1:3" x14ac:dyDescent="0.35">
      <c r="A544" s="12">
        <v>45834</v>
      </c>
      <c r="B544" s="89">
        <f>MONTH(Table14[[#This Row],[Date]])</f>
        <v>6</v>
      </c>
      <c r="C544" s="89" t="str">
        <f>"S" &amp; WEEKNUM(Table14[[#This Row],[Date]])</f>
        <v>S26</v>
      </c>
    </row>
    <row r="545" spans="1:3" x14ac:dyDescent="0.35">
      <c r="A545" s="12">
        <v>45835</v>
      </c>
      <c r="B545" s="89">
        <f>MONTH(Table14[[#This Row],[Date]])</f>
        <v>6</v>
      </c>
      <c r="C545" s="89" t="str">
        <f>"S" &amp; WEEKNUM(Table14[[#This Row],[Date]])</f>
        <v>S26</v>
      </c>
    </row>
    <row r="546" spans="1:3" x14ac:dyDescent="0.35">
      <c r="A546" s="12">
        <v>45836</v>
      </c>
      <c r="B546" s="89">
        <f>MONTH(Table14[[#This Row],[Date]])</f>
        <v>6</v>
      </c>
      <c r="C546" s="89" t="str">
        <f>"S" &amp; WEEKNUM(Table14[[#This Row],[Date]])</f>
        <v>S26</v>
      </c>
    </row>
    <row r="547" spans="1:3" x14ac:dyDescent="0.35">
      <c r="A547" s="12">
        <v>45837</v>
      </c>
      <c r="B547" s="89">
        <f>MONTH(Table14[[#This Row],[Date]])</f>
        <v>6</v>
      </c>
      <c r="C547" s="89" t="str">
        <f>"S" &amp; WEEKNUM(Table14[[#This Row],[Date]])</f>
        <v>S27</v>
      </c>
    </row>
    <row r="548" spans="1:3" x14ac:dyDescent="0.35">
      <c r="A548" s="12">
        <v>45838</v>
      </c>
      <c r="B548" s="89">
        <f>MONTH(Table14[[#This Row],[Date]])</f>
        <v>6</v>
      </c>
      <c r="C548" s="89" t="str">
        <f>"S" &amp; WEEKNUM(Table14[[#This Row],[Date]])</f>
        <v>S27</v>
      </c>
    </row>
    <row r="549" spans="1:3" x14ac:dyDescent="0.35">
      <c r="A549" s="12">
        <v>45839</v>
      </c>
      <c r="B549" s="89">
        <f>MONTH(Table14[[#This Row],[Date]])</f>
        <v>7</v>
      </c>
      <c r="C549" s="89" t="str">
        <f>"S" &amp; WEEKNUM(Table14[[#This Row],[Date]])</f>
        <v>S27</v>
      </c>
    </row>
    <row r="550" spans="1:3" x14ac:dyDescent="0.35">
      <c r="A550" s="12">
        <v>45840</v>
      </c>
      <c r="B550" s="89">
        <f>MONTH(Table14[[#This Row],[Date]])</f>
        <v>7</v>
      </c>
      <c r="C550" s="89" t="str">
        <f>"S" &amp; WEEKNUM(Table14[[#This Row],[Date]])</f>
        <v>S27</v>
      </c>
    </row>
    <row r="551" spans="1:3" x14ac:dyDescent="0.35">
      <c r="A551" s="12">
        <v>45841</v>
      </c>
      <c r="B551" s="89">
        <f>MONTH(Table14[[#This Row],[Date]])</f>
        <v>7</v>
      </c>
      <c r="C551" s="89" t="str">
        <f>"S" &amp; WEEKNUM(Table14[[#This Row],[Date]])</f>
        <v>S27</v>
      </c>
    </row>
    <row r="552" spans="1:3" x14ac:dyDescent="0.35">
      <c r="A552" s="12">
        <v>45842</v>
      </c>
      <c r="B552" s="89">
        <f>MONTH(Table14[[#This Row],[Date]])</f>
        <v>7</v>
      </c>
      <c r="C552" s="89" t="str">
        <f>"S" &amp; WEEKNUM(Table14[[#This Row],[Date]])</f>
        <v>S27</v>
      </c>
    </row>
    <row r="553" spans="1:3" x14ac:dyDescent="0.35">
      <c r="A553" s="12">
        <v>45843</v>
      </c>
      <c r="B553" s="89">
        <f>MONTH(Table14[[#This Row],[Date]])</f>
        <v>7</v>
      </c>
      <c r="C553" s="89" t="str">
        <f>"S" &amp; WEEKNUM(Table14[[#This Row],[Date]])</f>
        <v>S27</v>
      </c>
    </row>
    <row r="554" spans="1:3" x14ac:dyDescent="0.35">
      <c r="A554" s="12">
        <v>45844</v>
      </c>
      <c r="B554" s="89">
        <f>MONTH(Table14[[#This Row],[Date]])</f>
        <v>7</v>
      </c>
      <c r="C554" s="89" t="str">
        <f>"S" &amp; WEEKNUM(Table14[[#This Row],[Date]])</f>
        <v>S28</v>
      </c>
    </row>
    <row r="555" spans="1:3" x14ac:dyDescent="0.35">
      <c r="A555" s="12">
        <v>45845</v>
      </c>
      <c r="B555" s="89">
        <f>MONTH(Table14[[#This Row],[Date]])</f>
        <v>7</v>
      </c>
      <c r="C555" s="89" t="str">
        <f>"S" &amp; WEEKNUM(Table14[[#This Row],[Date]])</f>
        <v>S28</v>
      </c>
    </row>
    <row r="556" spans="1:3" x14ac:dyDescent="0.35">
      <c r="A556" s="12">
        <v>45846</v>
      </c>
      <c r="B556" s="89">
        <f>MONTH(Table14[[#This Row],[Date]])</f>
        <v>7</v>
      </c>
      <c r="C556" s="89" t="str">
        <f>"S" &amp; WEEKNUM(Table14[[#This Row],[Date]])</f>
        <v>S28</v>
      </c>
    </row>
    <row r="557" spans="1:3" x14ac:dyDescent="0.35">
      <c r="A557" s="12">
        <v>45847</v>
      </c>
      <c r="B557" s="89">
        <f>MONTH(Table14[[#This Row],[Date]])</f>
        <v>7</v>
      </c>
      <c r="C557" s="89" t="str">
        <f>"S" &amp; WEEKNUM(Table14[[#This Row],[Date]])</f>
        <v>S28</v>
      </c>
    </row>
    <row r="558" spans="1:3" x14ac:dyDescent="0.35">
      <c r="A558" s="12">
        <v>45848</v>
      </c>
      <c r="B558" s="89">
        <f>MONTH(Table14[[#This Row],[Date]])</f>
        <v>7</v>
      </c>
      <c r="C558" s="89" t="str">
        <f>"S" &amp; WEEKNUM(Table14[[#This Row],[Date]])</f>
        <v>S28</v>
      </c>
    </row>
    <row r="559" spans="1:3" x14ac:dyDescent="0.35">
      <c r="A559" s="12">
        <v>45849</v>
      </c>
      <c r="B559" s="89">
        <f>MONTH(Table14[[#This Row],[Date]])</f>
        <v>7</v>
      </c>
      <c r="C559" s="89" t="str">
        <f>"S" &amp; WEEKNUM(Table14[[#This Row],[Date]])</f>
        <v>S28</v>
      </c>
    </row>
    <row r="560" spans="1:3" x14ac:dyDescent="0.35">
      <c r="A560" s="12">
        <v>45850</v>
      </c>
      <c r="B560" s="89">
        <f>MONTH(Table14[[#This Row],[Date]])</f>
        <v>7</v>
      </c>
      <c r="C560" s="89" t="str">
        <f>"S" &amp; WEEKNUM(Table14[[#This Row],[Date]])</f>
        <v>S28</v>
      </c>
    </row>
    <row r="561" spans="1:3" x14ac:dyDescent="0.35">
      <c r="A561" s="12">
        <v>45851</v>
      </c>
      <c r="B561" s="89">
        <f>MONTH(Table14[[#This Row],[Date]])</f>
        <v>7</v>
      </c>
      <c r="C561" s="89" t="str">
        <f>"S" &amp; WEEKNUM(Table14[[#This Row],[Date]])</f>
        <v>S29</v>
      </c>
    </row>
    <row r="562" spans="1:3" x14ac:dyDescent="0.35">
      <c r="A562" s="12">
        <v>45852</v>
      </c>
      <c r="B562" s="89">
        <f>MONTH(Table14[[#This Row],[Date]])</f>
        <v>7</v>
      </c>
      <c r="C562" s="89" t="str">
        <f>"S" &amp; WEEKNUM(Table14[[#This Row],[Date]])</f>
        <v>S29</v>
      </c>
    </row>
    <row r="563" spans="1:3" x14ac:dyDescent="0.35">
      <c r="A563" s="12">
        <v>45853</v>
      </c>
      <c r="B563" s="89">
        <f>MONTH(Table14[[#This Row],[Date]])</f>
        <v>7</v>
      </c>
      <c r="C563" s="89" t="str">
        <f>"S" &amp; WEEKNUM(Table14[[#This Row],[Date]])</f>
        <v>S29</v>
      </c>
    </row>
    <row r="564" spans="1:3" x14ac:dyDescent="0.35">
      <c r="A564" s="12">
        <v>45854</v>
      </c>
      <c r="B564" s="89">
        <f>MONTH(Table14[[#This Row],[Date]])</f>
        <v>7</v>
      </c>
      <c r="C564" s="89" t="str">
        <f>"S" &amp; WEEKNUM(Table14[[#This Row],[Date]])</f>
        <v>S29</v>
      </c>
    </row>
    <row r="565" spans="1:3" x14ac:dyDescent="0.35">
      <c r="A565" s="12">
        <v>45855</v>
      </c>
      <c r="B565" s="89">
        <f>MONTH(Table14[[#This Row],[Date]])</f>
        <v>7</v>
      </c>
      <c r="C565" s="89" t="str">
        <f>"S" &amp; WEEKNUM(Table14[[#This Row],[Date]])</f>
        <v>S29</v>
      </c>
    </row>
    <row r="566" spans="1:3" x14ac:dyDescent="0.35">
      <c r="A566" s="12">
        <v>45856</v>
      </c>
      <c r="B566" s="89">
        <f>MONTH(Table14[[#This Row],[Date]])</f>
        <v>7</v>
      </c>
      <c r="C566" s="89" t="str">
        <f>"S" &amp; WEEKNUM(Table14[[#This Row],[Date]])</f>
        <v>S29</v>
      </c>
    </row>
    <row r="567" spans="1:3" x14ac:dyDescent="0.35">
      <c r="A567" s="12">
        <v>45857</v>
      </c>
      <c r="B567" s="89">
        <f>MONTH(Table14[[#This Row],[Date]])</f>
        <v>7</v>
      </c>
      <c r="C567" s="89" t="str">
        <f>"S" &amp; WEEKNUM(Table14[[#This Row],[Date]])</f>
        <v>S29</v>
      </c>
    </row>
    <row r="568" spans="1:3" x14ac:dyDescent="0.35">
      <c r="A568" s="12">
        <v>45858</v>
      </c>
      <c r="B568" s="89">
        <f>MONTH(Table14[[#This Row],[Date]])</f>
        <v>7</v>
      </c>
      <c r="C568" s="89" t="str">
        <f>"S" &amp; WEEKNUM(Table14[[#This Row],[Date]])</f>
        <v>S30</v>
      </c>
    </row>
    <row r="569" spans="1:3" x14ac:dyDescent="0.35">
      <c r="A569" s="12">
        <v>45859</v>
      </c>
      <c r="B569" s="89">
        <f>MONTH(Table14[[#This Row],[Date]])</f>
        <v>7</v>
      </c>
      <c r="C569" s="89" t="str">
        <f>"S" &amp; WEEKNUM(Table14[[#This Row],[Date]])</f>
        <v>S30</v>
      </c>
    </row>
    <row r="570" spans="1:3" x14ac:dyDescent="0.35">
      <c r="A570" s="12">
        <v>45860</v>
      </c>
      <c r="B570" s="89">
        <f>MONTH(Table14[[#This Row],[Date]])</f>
        <v>7</v>
      </c>
      <c r="C570" s="89" t="str">
        <f>"S" &amp; WEEKNUM(Table14[[#This Row],[Date]])</f>
        <v>S30</v>
      </c>
    </row>
    <row r="571" spans="1:3" x14ac:dyDescent="0.35">
      <c r="A571" s="12">
        <v>45861</v>
      </c>
      <c r="B571" s="89">
        <f>MONTH(Table14[[#This Row],[Date]])</f>
        <v>7</v>
      </c>
      <c r="C571" s="89" t="str">
        <f>"S" &amp; WEEKNUM(Table14[[#This Row],[Date]])</f>
        <v>S30</v>
      </c>
    </row>
    <row r="572" spans="1:3" x14ac:dyDescent="0.35">
      <c r="A572" s="12">
        <v>45862</v>
      </c>
      <c r="B572" s="89">
        <f>MONTH(Table14[[#This Row],[Date]])</f>
        <v>7</v>
      </c>
      <c r="C572" s="89" t="str">
        <f>"S" &amp; WEEKNUM(Table14[[#This Row],[Date]])</f>
        <v>S30</v>
      </c>
    </row>
    <row r="573" spans="1:3" x14ac:dyDescent="0.35">
      <c r="A573" s="12">
        <v>45863</v>
      </c>
      <c r="B573" s="89">
        <f>MONTH(Table14[[#This Row],[Date]])</f>
        <v>7</v>
      </c>
      <c r="C573" s="89" t="str">
        <f>"S" &amp; WEEKNUM(Table14[[#This Row],[Date]])</f>
        <v>S30</v>
      </c>
    </row>
    <row r="574" spans="1:3" x14ac:dyDescent="0.35">
      <c r="A574" s="12">
        <v>45864</v>
      </c>
      <c r="B574" s="89">
        <f>MONTH(Table14[[#This Row],[Date]])</f>
        <v>7</v>
      </c>
      <c r="C574" s="89" t="str">
        <f>"S" &amp; WEEKNUM(Table14[[#This Row],[Date]])</f>
        <v>S30</v>
      </c>
    </row>
    <row r="575" spans="1:3" x14ac:dyDescent="0.35">
      <c r="A575" s="12">
        <v>45865</v>
      </c>
      <c r="B575" s="89">
        <f>MONTH(Table14[[#This Row],[Date]])</f>
        <v>7</v>
      </c>
      <c r="C575" s="89" t="str">
        <f>"S" &amp; WEEKNUM(Table14[[#This Row],[Date]])</f>
        <v>S31</v>
      </c>
    </row>
    <row r="576" spans="1:3" x14ac:dyDescent="0.35">
      <c r="A576" s="12">
        <v>45866</v>
      </c>
      <c r="B576" s="89">
        <f>MONTH(Table14[[#This Row],[Date]])</f>
        <v>7</v>
      </c>
      <c r="C576" s="89" t="str">
        <f>"S" &amp; WEEKNUM(Table14[[#This Row],[Date]])</f>
        <v>S31</v>
      </c>
    </row>
    <row r="577" spans="1:3" x14ac:dyDescent="0.35">
      <c r="A577" s="12">
        <v>45867</v>
      </c>
      <c r="B577" s="89">
        <f>MONTH(Table14[[#This Row],[Date]])</f>
        <v>7</v>
      </c>
      <c r="C577" s="89" t="str">
        <f>"S" &amp; WEEKNUM(Table14[[#This Row],[Date]])</f>
        <v>S31</v>
      </c>
    </row>
    <row r="578" spans="1:3" x14ac:dyDescent="0.35">
      <c r="A578" s="12">
        <v>45868</v>
      </c>
      <c r="B578" s="89">
        <f>MONTH(Table14[[#This Row],[Date]])</f>
        <v>7</v>
      </c>
      <c r="C578" s="89" t="str">
        <f>"S" &amp; WEEKNUM(Table14[[#This Row],[Date]])</f>
        <v>S31</v>
      </c>
    </row>
    <row r="579" spans="1:3" x14ac:dyDescent="0.35">
      <c r="A579" s="12">
        <v>45869</v>
      </c>
      <c r="B579" s="89">
        <f>MONTH(Table14[[#This Row],[Date]])</f>
        <v>7</v>
      </c>
      <c r="C579" s="89" t="str">
        <f>"S" &amp; WEEKNUM(Table14[[#This Row],[Date]])</f>
        <v>S31</v>
      </c>
    </row>
    <row r="580" spans="1:3" x14ac:dyDescent="0.35">
      <c r="A580" s="12">
        <v>45870</v>
      </c>
      <c r="B580" s="89">
        <f>MONTH(Table14[[#This Row],[Date]])</f>
        <v>8</v>
      </c>
      <c r="C580" s="89" t="str">
        <f>"S" &amp; WEEKNUM(Table14[[#This Row],[Date]])</f>
        <v>S31</v>
      </c>
    </row>
    <row r="581" spans="1:3" x14ac:dyDescent="0.35">
      <c r="A581" s="12">
        <v>45871</v>
      </c>
      <c r="B581" s="89">
        <f>MONTH(Table14[[#This Row],[Date]])</f>
        <v>8</v>
      </c>
      <c r="C581" s="89" t="str">
        <f>"S" &amp; WEEKNUM(Table14[[#This Row],[Date]])</f>
        <v>S31</v>
      </c>
    </row>
    <row r="582" spans="1:3" x14ac:dyDescent="0.35">
      <c r="A582" s="12">
        <v>45872</v>
      </c>
      <c r="B582" s="89">
        <f>MONTH(Table14[[#This Row],[Date]])</f>
        <v>8</v>
      </c>
      <c r="C582" s="89" t="str">
        <f>"S" &amp; WEEKNUM(Table14[[#This Row],[Date]])</f>
        <v>S32</v>
      </c>
    </row>
    <row r="583" spans="1:3" x14ac:dyDescent="0.35">
      <c r="A583" s="12">
        <v>45873</v>
      </c>
      <c r="B583" s="89">
        <f>MONTH(Table14[[#This Row],[Date]])</f>
        <v>8</v>
      </c>
      <c r="C583" s="89" t="str">
        <f>"S" &amp; WEEKNUM(Table14[[#This Row],[Date]])</f>
        <v>S32</v>
      </c>
    </row>
    <row r="584" spans="1:3" x14ac:dyDescent="0.35">
      <c r="A584" s="12">
        <v>45874</v>
      </c>
      <c r="B584" s="89">
        <f>MONTH(Table14[[#This Row],[Date]])</f>
        <v>8</v>
      </c>
      <c r="C584" s="89" t="str">
        <f>"S" &amp; WEEKNUM(Table14[[#This Row],[Date]])</f>
        <v>S32</v>
      </c>
    </row>
    <row r="585" spans="1:3" x14ac:dyDescent="0.35">
      <c r="A585" s="12">
        <v>45875</v>
      </c>
      <c r="B585" s="89">
        <f>MONTH(Table14[[#This Row],[Date]])</f>
        <v>8</v>
      </c>
      <c r="C585" s="89" t="str">
        <f>"S" &amp; WEEKNUM(Table14[[#This Row],[Date]])</f>
        <v>S32</v>
      </c>
    </row>
    <row r="586" spans="1:3" x14ac:dyDescent="0.35">
      <c r="A586" s="12">
        <v>45876</v>
      </c>
      <c r="B586" s="89">
        <f>MONTH(Table14[[#This Row],[Date]])</f>
        <v>8</v>
      </c>
      <c r="C586" s="89" t="str">
        <f>"S" &amp; WEEKNUM(Table14[[#This Row],[Date]])</f>
        <v>S32</v>
      </c>
    </row>
    <row r="587" spans="1:3" x14ac:dyDescent="0.35">
      <c r="A587" s="12">
        <v>45877</v>
      </c>
      <c r="B587" s="89">
        <f>MONTH(Table14[[#This Row],[Date]])</f>
        <v>8</v>
      </c>
      <c r="C587" s="89" t="str">
        <f>"S" &amp; WEEKNUM(Table14[[#This Row],[Date]])</f>
        <v>S32</v>
      </c>
    </row>
    <row r="588" spans="1:3" x14ac:dyDescent="0.35">
      <c r="A588" s="12">
        <v>45878</v>
      </c>
      <c r="B588" s="89">
        <f>MONTH(Table14[[#This Row],[Date]])</f>
        <v>8</v>
      </c>
      <c r="C588" s="89" t="str">
        <f>"S" &amp; WEEKNUM(Table14[[#This Row],[Date]])</f>
        <v>S32</v>
      </c>
    </row>
    <row r="589" spans="1:3" x14ac:dyDescent="0.35">
      <c r="A589" s="12">
        <v>45879</v>
      </c>
      <c r="B589" s="89">
        <f>MONTH(Table14[[#This Row],[Date]])</f>
        <v>8</v>
      </c>
      <c r="C589" s="89" t="str">
        <f>"S" &amp; WEEKNUM(Table14[[#This Row],[Date]])</f>
        <v>S33</v>
      </c>
    </row>
    <row r="590" spans="1:3" x14ac:dyDescent="0.35">
      <c r="A590" s="12">
        <v>45880</v>
      </c>
      <c r="B590" s="89">
        <f>MONTH(Table14[[#This Row],[Date]])</f>
        <v>8</v>
      </c>
      <c r="C590" s="89" t="str">
        <f>"S" &amp; WEEKNUM(Table14[[#This Row],[Date]])</f>
        <v>S33</v>
      </c>
    </row>
    <row r="591" spans="1:3" x14ac:dyDescent="0.35">
      <c r="A591" s="12">
        <v>45881</v>
      </c>
      <c r="B591" s="89">
        <f>MONTH(Table14[[#This Row],[Date]])</f>
        <v>8</v>
      </c>
      <c r="C591" s="89" t="str">
        <f>"S" &amp; WEEKNUM(Table14[[#This Row],[Date]])</f>
        <v>S33</v>
      </c>
    </row>
    <row r="592" spans="1:3" x14ac:dyDescent="0.35">
      <c r="A592" s="12">
        <v>45882</v>
      </c>
      <c r="B592" s="89">
        <f>MONTH(Table14[[#This Row],[Date]])</f>
        <v>8</v>
      </c>
      <c r="C592" s="89" t="str">
        <f>"S" &amp; WEEKNUM(Table14[[#This Row],[Date]])</f>
        <v>S33</v>
      </c>
    </row>
    <row r="593" spans="1:3" x14ac:dyDescent="0.35">
      <c r="A593" s="12">
        <v>45883</v>
      </c>
      <c r="B593" s="89">
        <f>MONTH(Table14[[#This Row],[Date]])</f>
        <v>8</v>
      </c>
      <c r="C593" s="89" t="str">
        <f>"S" &amp; WEEKNUM(Table14[[#This Row],[Date]])</f>
        <v>S33</v>
      </c>
    </row>
    <row r="594" spans="1:3" x14ac:dyDescent="0.35">
      <c r="A594" s="12">
        <v>45884</v>
      </c>
      <c r="B594" s="89">
        <f>MONTH(Table14[[#This Row],[Date]])</f>
        <v>8</v>
      </c>
      <c r="C594" s="89" t="str">
        <f>"S" &amp; WEEKNUM(Table14[[#This Row],[Date]])</f>
        <v>S33</v>
      </c>
    </row>
    <row r="595" spans="1:3" x14ac:dyDescent="0.35">
      <c r="A595" s="12">
        <v>45885</v>
      </c>
      <c r="B595" s="89">
        <f>MONTH(Table14[[#This Row],[Date]])</f>
        <v>8</v>
      </c>
      <c r="C595" s="89" t="str">
        <f>"S" &amp; WEEKNUM(Table14[[#This Row],[Date]])</f>
        <v>S33</v>
      </c>
    </row>
    <row r="596" spans="1:3" x14ac:dyDescent="0.35">
      <c r="A596" s="12">
        <v>45886</v>
      </c>
      <c r="B596" s="89">
        <f>MONTH(Table14[[#This Row],[Date]])</f>
        <v>8</v>
      </c>
      <c r="C596" s="89" t="str">
        <f>"S" &amp; WEEKNUM(Table14[[#This Row],[Date]])</f>
        <v>S34</v>
      </c>
    </row>
    <row r="597" spans="1:3" x14ac:dyDescent="0.35">
      <c r="A597" s="12">
        <v>45887</v>
      </c>
      <c r="B597" s="89">
        <f>MONTH(Table14[[#This Row],[Date]])</f>
        <v>8</v>
      </c>
      <c r="C597" s="89" t="str">
        <f>"S" &amp; WEEKNUM(Table14[[#This Row],[Date]])</f>
        <v>S34</v>
      </c>
    </row>
    <row r="598" spans="1:3" x14ac:dyDescent="0.35">
      <c r="A598" s="12">
        <v>45888</v>
      </c>
      <c r="B598" s="89">
        <f>MONTH(Table14[[#This Row],[Date]])</f>
        <v>8</v>
      </c>
      <c r="C598" s="89" t="str">
        <f>"S" &amp; WEEKNUM(Table14[[#This Row],[Date]])</f>
        <v>S34</v>
      </c>
    </row>
    <row r="599" spans="1:3" x14ac:dyDescent="0.35">
      <c r="A599" s="12">
        <v>45889</v>
      </c>
      <c r="B599" s="89">
        <f>MONTH(Table14[[#This Row],[Date]])</f>
        <v>8</v>
      </c>
      <c r="C599" s="89" t="str">
        <f>"S" &amp; WEEKNUM(Table14[[#This Row],[Date]])</f>
        <v>S34</v>
      </c>
    </row>
    <row r="600" spans="1:3" x14ac:dyDescent="0.35">
      <c r="A600" s="12">
        <v>45890</v>
      </c>
      <c r="B600" s="89">
        <f>MONTH(Table14[[#This Row],[Date]])</f>
        <v>8</v>
      </c>
      <c r="C600" s="89" t="str">
        <f>"S" &amp; WEEKNUM(Table14[[#This Row],[Date]])</f>
        <v>S34</v>
      </c>
    </row>
    <row r="601" spans="1:3" x14ac:dyDescent="0.35">
      <c r="A601" s="12">
        <v>45891</v>
      </c>
      <c r="B601" s="89">
        <f>MONTH(Table14[[#This Row],[Date]])</f>
        <v>8</v>
      </c>
      <c r="C601" s="89" t="str">
        <f>"S" &amp; WEEKNUM(Table14[[#This Row],[Date]])</f>
        <v>S34</v>
      </c>
    </row>
    <row r="602" spans="1:3" x14ac:dyDescent="0.35">
      <c r="A602" s="12">
        <v>45892</v>
      </c>
      <c r="B602" s="89">
        <f>MONTH(Table14[[#This Row],[Date]])</f>
        <v>8</v>
      </c>
      <c r="C602" s="89" t="str">
        <f>"S" &amp; WEEKNUM(Table14[[#This Row],[Date]])</f>
        <v>S34</v>
      </c>
    </row>
    <row r="603" spans="1:3" x14ac:dyDescent="0.35">
      <c r="A603" s="12">
        <v>45893</v>
      </c>
      <c r="B603" s="89">
        <f>MONTH(Table14[[#This Row],[Date]])</f>
        <v>8</v>
      </c>
      <c r="C603" s="89" t="str">
        <f>"S" &amp; WEEKNUM(Table14[[#This Row],[Date]])</f>
        <v>S35</v>
      </c>
    </row>
    <row r="604" spans="1:3" x14ac:dyDescent="0.35">
      <c r="A604" s="12">
        <v>45894</v>
      </c>
      <c r="B604" s="89">
        <f>MONTH(Table14[[#This Row],[Date]])</f>
        <v>8</v>
      </c>
      <c r="C604" s="89" t="str">
        <f>"S" &amp; WEEKNUM(Table14[[#This Row],[Date]])</f>
        <v>S35</v>
      </c>
    </row>
    <row r="605" spans="1:3" x14ac:dyDescent="0.35">
      <c r="A605" s="12">
        <v>45895</v>
      </c>
      <c r="B605" s="89">
        <f>MONTH(Table14[[#This Row],[Date]])</f>
        <v>8</v>
      </c>
      <c r="C605" s="89" t="str">
        <f>"S" &amp; WEEKNUM(Table14[[#This Row],[Date]])</f>
        <v>S35</v>
      </c>
    </row>
    <row r="606" spans="1:3" x14ac:dyDescent="0.35">
      <c r="A606" s="12">
        <v>45896</v>
      </c>
      <c r="B606" s="89">
        <f>MONTH(Table14[[#This Row],[Date]])</f>
        <v>8</v>
      </c>
      <c r="C606" s="89" t="str">
        <f>"S" &amp; WEEKNUM(Table14[[#This Row],[Date]])</f>
        <v>S35</v>
      </c>
    </row>
    <row r="607" spans="1:3" x14ac:dyDescent="0.35">
      <c r="A607" s="12">
        <v>45897</v>
      </c>
      <c r="B607" s="89">
        <f>MONTH(Table14[[#This Row],[Date]])</f>
        <v>8</v>
      </c>
      <c r="C607" s="89" t="str">
        <f>"S" &amp; WEEKNUM(Table14[[#This Row],[Date]])</f>
        <v>S35</v>
      </c>
    </row>
    <row r="608" spans="1:3" x14ac:dyDescent="0.35">
      <c r="A608" s="12">
        <v>45898</v>
      </c>
      <c r="B608" s="89">
        <f>MONTH(Table14[[#This Row],[Date]])</f>
        <v>8</v>
      </c>
      <c r="C608" s="89" t="str">
        <f>"S" &amp; WEEKNUM(Table14[[#This Row],[Date]])</f>
        <v>S35</v>
      </c>
    </row>
    <row r="609" spans="1:3" x14ac:dyDescent="0.35">
      <c r="A609" s="12">
        <v>45899</v>
      </c>
      <c r="B609" s="89">
        <f>MONTH(Table14[[#This Row],[Date]])</f>
        <v>8</v>
      </c>
      <c r="C609" s="89" t="str">
        <f>"S" &amp; WEEKNUM(Table14[[#This Row],[Date]])</f>
        <v>S35</v>
      </c>
    </row>
    <row r="610" spans="1:3" x14ac:dyDescent="0.35">
      <c r="A610" s="12">
        <v>45900</v>
      </c>
      <c r="B610" s="89">
        <f>MONTH(Table14[[#This Row],[Date]])</f>
        <v>8</v>
      </c>
      <c r="C610" s="89" t="str">
        <f>"S" &amp; WEEKNUM(Table14[[#This Row],[Date]])</f>
        <v>S36</v>
      </c>
    </row>
    <row r="611" spans="1:3" x14ac:dyDescent="0.35">
      <c r="A611" s="12">
        <v>45901</v>
      </c>
      <c r="B611" s="89">
        <f>MONTH(Table14[[#This Row],[Date]])</f>
        <v>9</v>
      </c>
      <c r="C611" s="89" t="str">
        <f>"S" &amp; WEEKNUM(Table14[[#This Row],[Date]])</f>
        <v>S36</v>
      </c>
    </row>
    <row r="612" spans="1:3" x14ac:dyDescent="0.35">
      <c r="A612" s="12">
        <v>45902</v>
      </c>
      <c r="B612" s="89">
        <f>MONTH(Table14[[#This Row],[Date]])</f>
        <v>9</v>
      </c>
      <c r="C612" s="89" t="str">
        <f>"S" &amp; WEEKNUM(Table14[[#This Row],[Date]])</f>
        <v>S36</v>
      </c>
    </row>
    <row r="613" spans="1:3" x14ac:dyDescent="0.35">
      <c r="A613" s="12">
        <v>45903</v>
      </c>
      <c r="B613" s="89">
        <f>MONTH(Table14[[#This Row],[Date]])</f>
        <v>9</v>
      </c>
      <c r="C613" s="89" t="str">
        <f>"S" &amp; WEEKNUM(Table14[[#This Row],[Date]])</f>
        <v>S36</v>
      </c>
    </row>
    <row r="614" spans="1:3" x14ac:dyDescent="0.35">
      <c r="A614" s="12">
        <v>45904</v>
      </c>
      <c r="B614" s="89">
        <f>MONTH(Table14[[#This Row],[Date]])</f>
        <v>9</v>
      </c>
      <c r="C614" s="89" t="str">
        <f>"S" &amp; WEEKNUM(Table14[[#This Row],[Date]])</f>
        <v>S36</v>
      </c>
    </row>
    <row r="615" spans="1:3" x14ac:dyDescent="0.35">
      <c r="A615" s="12">
        <v>45905</v>
      </c>
      <c r="B615" s="89">
        <f>MONTH(Table14[[#This Row],[Date]])</f>
        <v>9</v>
      </c>
      <c r="C615" s="89" t="str">
        <f>"S" &amp; WEEKNUM(Table14[[#This Row],[Date]])</f>
        <v>S36</v>
      </c>
    </row>
    <row r="616" spans="1:3" x14ac:dyDescent="0.35">
      <c r="A616" s="12">
        <v>45906</v>
      </c>
      <c r="B616" s="89">
        <f>MONTH(Table14[[#This Row],[Date]])</f>
        <v>9</v>
      </c>
      <c r="C616" s="89" t="str">
        <f>"S" &amp; WEEKNUM(Table14[[#This Row],[Date]])</f>
        <v>S36</v>
      </c>
    </row>
    <row r="617" spans="1:3" x14ac:dyDescent="0.35">
      <c r="A617" s="12">
        <v>45907</v>
      </c>
      <c r="B617" s="89">
        <f>MONTH(Table14[[#This Row],[Date]])</f>
        <v>9</v>
      </c>
      <c r="C617" s="89" t="str">
        <f>"S" &amp; WEEKNUM(Table14[[#This Row],[Date]])</f>
        <v>S37</v>
      </c>
    </row>
    <row r="618" spans="1:3" x14ac:dyDescent="0.35">
      <c r="A618" s="12">
        <v>45908</v>
      </c>
      <c r="B618" s="89">
        <f>MONTH(Table14[[#This Row],[Date]])</f>
        <v>9</v>
      </c>
      <c r="C618" s="89" t="str">
        <f>"S" &amp; WEEKNUM(Table14[[#This Row],[Date]])</f>
        <v>S37</v>
      </c>
    </row>
    <row r="619" spans="1:3" x14ac:dyDescent="0.35">
      <c r="A619" s="12">
        <v>45909</v>
      </c>
      <c r="B619" s="89">
        <f>MONTH(Table14[[#This Row],[Date]])</f>
        <v>9</v>
      </c>
      <c r="C619" s="89" t="str">
        <f>"S" &amp; WEEKNUM(Table14[[#This Row],[Date]])</f>
        <v>S37</v>
      </c>
    </row>
    <row r="620" spans="1:3" x14ac:dyDescent="0.35">
      <c r="A620" s="12">
        <v>45910</v>
      </c>
      <c r="B620" s="89">
        <f>MONTH(Table14[[#This Row],[Date]])</f>
        <v>9</v>
      </c>
      <c r="C620" s="89" t="str">
        <f>"S" &amp; WEEKNUM(Table14[[#This Row],[Date]])</f>
        <v>S37</v>
      </c>
    </row>
    <row r="621" spans="1:3" x14ac:dyDescent="0.35">
      <c r="A621" s="12">
        <v>45911</v>
      </c>
      <c r="B621" s="89">
        <f>MONTH(Table14[[#This Row],[Date]])</f>
        <v>9</v>
      </c>
      <c r="C621" s="89" t="str">
        <f>"S" &amp; WEEKNUM(Table14[[#This Row],[Date]])</f>
        <v>S37</v>
      </c>
    </row>
    <row r="622" spans="1:3" x14ac:dyDescent="0.35">
      <c r="A622" s="12">
        <v>45912</v>
      </c>
      <c r="B622" s="89">
        <f>MONTH(Table14[[#This Row],[Date]])</f>
        <v>9</v>
      </c>
      <c r="C622" s="89" t="str">
        <f>"S" &amp; WEEKNUM(Table14[[#This Row],[Date]])</f>
        <v>S37</v>
      </c>
    </row>
    <row r="623" spans="1:3" x14ac:dyDescent="0.35">
      <c r="A623" s="12">
        <v>45913</v>
      </c>
      <c r="B623" s="89">
        <f>MONTH(Table14[[#This Row],[Date]])</f>
        <v>9</v>
      </c>
      <c r="C623" s="89" t="str">
        <f>"S" &amp; WEEKNUM(Table14[[#This Row],[Date]])</f>
        <v>S37</v>
      </c>
    </row>
    <row r="624" spans="1:3" x14ac:dyDescent="0.35">
      <c r="A624" s="12">
        <v>45914</v>
      </c>
      <c r="B624" s="89">
        <f>MONTH(Table14[[#This Row],[Date]])</f>
        <v>9</v>
      </c>
      <c r="C624" s="89" t="str">
        <f>"S" &amp; WEEKNUM(Table14[[#This Row],[Date]])</f>
        <v>S38</v>
      </c>
    </row>
    <row r="625" spans="1:3" x14ac:dyDescent="0.35">
      <c r="A625" s="12">
        <v>45915</v>
      </c>
      <c r="B625" s="89">
        <f>MONTH(Table14[[#This Row],[Date]])</f>
        <v>9</v>
      </c>
      <c r="C625" s="89" t="str">
        <f>"S" &amp; WEEKNUM(Table14[[#This Row],[Date]])</f>
        <v>S38</v>
      </c>
    </row>
    <row r="626" spans="1:3" x14ac:dyDescent="0.35">
      <c r="A626" s="12">
        <v>45916</v>
      </c>
      <c r="B626" s="89">
        <f>MONTH(Table14[[#This Row],[Date]])</f>
        <v>9</v>
      </c>
      <c r="C626" s="89" t="str">
        <f>"S" &amp; WEEKNUM(Table14[[#This Row],[Date]])</f>
        <v>S38</v>
      </c>
    </row>
    <row r="627" spans="1:3" x14ac:dyDescent="0.35">
      <c r="A627" s="12">
        <v>45917</v>
      </c>
      <c r="B627" s="89">
        <f>MONTH(Table14[[#This Row],[Date]])</f>
        <v>9</v>
      </c>
      <c r="C627" s="89" t="str">
        <f>"S" &amp; WEEKNUM(Table14[[#This Row],[Date]])</f>
        <v>S38</v>
      </c>
    </row>
    <row r="628" spans="1:3" x14ac:dyDescent="0.35">
      <c r="A628" s="12">
        <v>45918</v>
      </c>
      <c r="B628" s="89">
        <f>MONTH(Table14[[#This Row],[Date]])</f>
        <v>9</v>
      </c>
      <c r="C628" s="89" t="str">
        <f>"S" &amp; WEEKNUM(Table14[[#This Row],[Date]])</f>
        <v>S38</v>
      </c>
    </row>
    <row r="629" spans="1:3" x14ac:dyDescent="0.35">
      <c r="A629" s="12">
        <v>45919</v>
      </c>
      <c r="B629" s="89">
        <f>MONTH(Table14[[#This Row],[Date]])</f>
        <v>9</v>
      </c>
      <c r="C629" s="89" t="str">
        <f>"S" &amp; WEEKNUM(Table14[[#This Row],[Date]])</f>
        <v>S38</v>
      </c>
    </row>
    <row r="630" spans="1:3" x14ac:dyDescent="0.35">
      <c r="A630" s="12">
        <v>45920</v>
      </c>
      <c r="B630" s="89">
        <f>MONTH(Table14[[#This Row],[Date]])</f>
        <v>9</v>
      </c>
      <c r="C630" s="89" t="str">
        <f>"S" &amp; WEEKNUM(Table14[[#This Row],[Date]])</f>
        <v>S38</v>
      </c>
    </row>
    <row r="631" spans="1:3" x14ac:dyDescent="0.35">
      <c r="A631" s="12">
        <v>45921</v>
      </c>
      <c r="B631" s="89">
        <f>MONTH(Table14[[#This Row],[Date]])</f>
        <v>9</v>
      </c>
      <c r="C631" s="89" t="str">
        <f>"S" &amp; WEEKNUM(Table14[[#This Row],[Date]])</f>
        <v>S39</v>
      </c>
    </row>
    <row r="632" spans="1:3" x14ac:dyDescent="0.35">
      <c r="A632" s="12">
        <v>45922</v>
      </c>
      <c r="B632" s="89">
        <f>MONTH(Table14[[#This Row],[Date]])</f>
        <v>9</v>
      </c>
      <c r="C632" s="89" t="str">
        <f>"S" &amp; WEEKNUM(Table14[[#This Row],[Date]])</f>
        <v>S39</v>
      </c>
    </row>
    <row r="633" spans="1:3" x14ac:dyDescent="0.35">
      <c r="A633" s="12">
        <v>45923</v>
      </c>
      <c r="B633" s="89">
        <f>MONTH(Table14[[#This Row],[Date]])</f>
        <v>9</v>
      </c>
      <c r="C633" s="89" t="str">
        <f>"S" &amp; WEEKNUM(Table14[[#This Row],[Date]])</f>
        <v>S39</v>
      </c>
    </row>
    <row r="634" spans="1:3" x14ac:dyDescent="0.35">
      <c r="A634" s="12">
        <v>45924</v>
      </c>
      <c r="B634" s="89">
        <f>MONTH(Table14[[#This Row],[Date]])</f>
        <v>9</v>
      </c>
      <c r="C634" s="89" t="str">
        <f>"S" &amp; WEEKNUM(Table14[[#This Row],[Date]])</f>
        <v>S39</v>
      </c>
    </row>
    <row r="635" spans="1:3" x14ac:dyDescent="0.35">
      <c r="A635" s="12">
        <v>45925</v>
      </c>
      <c r="B635" s="89">
        <f>MONTH(Table14[[#This Row],[Date]])</f>
        <v>9</v>
      </c>
      <c r="C635" s="89" t="str">
        <f>"S" &amp; WEEKNUM(Table14[[#This Row],[Date]])</f>
        <v>S39</v>
      </c>
    </row>
    <row r="636" spans="1:3" x14ac:dyDescent="0.35">
      <c r="A636" s="12">
        <v>45926</v>
      </c>
      <c r="B636" s="89">
        <f>MONTH(Table14[[#This Row],[Date]])</f>
        <v>9</v>
      </c>
      <c r="C636" s="89" t="str">
        <f>"S" &amp; WEEKNUM(Table14[[#This Row],[Date]])</f>
        <v>S39</v>
      </c>
    </row>
    <row r="637" spans="1:3" x14ac:dyDescent="0.35">
      <c r="A637" s="12">
        <v>45927</v>
      </c>
      <c r="B637" s="89">
        <f>MONTH(Table14[[#This Row],[Date]])</f>
        <v>9</v>
      </c>
      <c r="C637" s="89" t="str">
        <f>"S" &amp; WEEKNUM(Table14[[#This Row],[Date]])</f>
        <v>S39</v>
      </c>
    </row>
    <row r="638" spans="1:3" x14ac:dyDescent="0.35">
      <c r="A638" s="12">
        <v>45928</v>
      </c>
      <c r="B638" s="89">
        <f>MONTH(Table14[[#This Row],[Date]])</f>
        <v>9</v>
      </c>
      <c r="C638" s="89" t="str">
        <f>"S" &amp; WEEKNUM(Table14[[#This Row],[Date]])</f>
        <v>S40</v>
      </c>
    </row>
    <row r="639" spans="1:3" x14ac:dyDescent="0.35">
      <c r="A639" s="12">
        <v>45929</v>
      </c>
      <c r="B639" s="89">
        <f>MONTH(Table14[[#This Row],[Date]])</f>
        <v>9</v>
      </c>
      <c r="C639" s="89" t="str">
        <f>"S" &amp; WEEKNUM(Table14[[#This Row],[Date]])</f>
        <v>S40</v>
      </c>
    </row>
    <row r="640" spans="1:3" x14ac:dyDescent="0.35">
      <c r="A640" s="12">
        <v>45930</v>
      </c>
      <c r="B640" s="89">
        <f>MONTH(Table14[[#This Row],[Date]])</f>
        <v>9</v>
      </c>
      <c r="C640" s="89" t="str">
        <f>"S" &amp; WEEKNUM(Table14[[#This Row],[Date]])</f>
        <v>S40</v>
      </c>
    </row>
    <row r="641" spans="1:3" x14ac:dyDescent="0.35">
      <c r="A641" s="12">
        <v>45931</v>
      </c>
      <c r="B641" s="89">
        <f>MONTH(Table14[[#This Row],[Date]])</f>
        <v>10</v>
      </c>
      <c r="C641" s="89" t="str">
        <f>"S" &amp; WEEKNUM(Table14[[#This Row],[Date]])</f>
        <v>S40</v>
      </c>
    </row>
    <row r="642" spans="1:3" x14ac:dyDescent="0.35">
      <c r="A642" s="12">
        <v>45932</v>
      </c>
      <c r="B642" s="89">
        <f>MONTH(Table14[[#This Row],[Date]])</f>
        <v>10</v>
      </c>
      <c r="C642" s="89" t="str">
        <f>"S" &amp; WEEKNUM(Table14[[#This Row],[Date]])</f>
        <v>S40</v>
      </c>
    </row>
    <row r="643" spans="1:3" x14ac:dyDescent="0.35">
      <c r="A643" s="12">
        <v>45933</v>
      </c>
      <c r="B643" s="89">
        <f>MONTH(Table14[[#This Row],[Date]])</f>
        <v>10</v>
      </c>
      <c r="C643" s="89" t="str">
        <f>"S" &amp; WEEKNUM(Table14[[#This Row],[Date]])</f>
        <v>S40</v>
      </c>
    </row>
    <row r="644" spans="1:3" x14ac:dyDescent="0.35">
      <c r="A644" s="12">
        <v>45934</v>
      </c>
      <c r="B644" s="89">
        <f>MONTH(Table14[[#This Row],[Date]])</f>
        <v>10</v>
      </c>
      <c r="C644" s="89" t="str">
        <f>"S" &amp; WEEKNUM(Table14[[#This Row],[Date]])</f>
        <v>S40</v>
      </c>
    </row>
    <row r="645" spans="1:3" x14ac:dyDescent="0.35">
      <c r="A645" s="12">
        <v>45935</v>
      </c>
      <c r="B645" s="89">
        <f>MONTH(Table14[[#This Row],[Date]])</f>
        <v>10</v>
      </c>
      <c r="C645" s="89" t="str">
        <f>"S" &amp; WEEKNUM(Table14[[#This Row],[Date]])</f>
        <v>S41</v>
      </c>
    </row>
    <row r="646" spans="1:3" x14ac:dyDescent="0.35">
      <c r="A646" s="12">
        <v>45936</v>
      </c>
      <c r="B646" s="89">
        <f>MONTH(Table14[[#This Row],[Date]])</f>
        <v>10</v>
      </c>
      <c r="C646" s="89" t="str">
        <f>"S" &amp; WEEKNUM(Table14[[#This Row],[Date]])</f>
        <v>S41</v>
      </c>
    </row>
    <row r="647" spans="1:3" x14ac:dyDescent="0.35">
      <c r="A647" s="12">
        <v>45937</v>
      </c>
      <c r="B647" s="89">
        <f>MONTH(Table14[[#This Row],[Date]])</f>
        <v>10</v>
      </c>
      <c r="C647" s="89" t="str">
        <f>"S" &amp; WEEKNUM(Table14[[#This Row],[Date]])</f>
        <v>S41</v>
      </c>
    </row>
    <row r="648" spans="1:3" x14ac:dyDescent="0.35">
      <c r="A648" s="12">
        <v>45938</v>
      </c>
      <c r="B648" s="89">
        <f>MONTH(Table14[[#This Row],[Date]])</f>
        <v>10</v>
      </c>
      <c r="C648" s="89" t="str">
        <f>"S" &amp; WEEKNUM(Table14[[#This Row],[Date]])</f>
        <v>S41</v>
      </c>
    </row>
    <row r="649" spans="1:3" x14ac:dyDescent="0.35">
      <c r="A649" s="12">
        <v>45939</v>
      </c>
      <c r="B649" s="89">
        <f>MONTH(Table14[[#This Row],[Date]])</f>
        <v>10</v>
      </c>
      <c r="C649" s="89" t="str">
        <f>"S" &amp; WEEKNUM(Table14[[#This Row],[Date]])</f>
        <v>S41</v>
      </c>
    </row>
    <row r="650" spans="1:3" x14ac:dyDescent="0.35">
      <c r="A650" s="12">
        <v>45940</v>
      </c>
      <c r="B650" s="89">
        <f>MONTH(Table14[[#This Row],[Date]])</f>
        <v>10</v>
      </c>
      <c r="C650" s="89" t="str">
        <f>"S" &amp; WEEKNUM(Table14[[#This Row],[Date]])</f>
        <v>S41</v>
      </c>
    </row>
    <row r="651" spans="1:3" x14ac:dyDescent="0.35">
      <c r="A651" s="12">
        <v>45941</v>
      </c>
      <c r="B651" s="89">
        <f>MONTH(Table14[[#This Row],[Date]])</f>
        <v>10</v>
      </c>
      <c r="C651" s="89" t="str">
        <f>"S" &amp; WEEKNUM(Table14[[#This Row],[Date]])</f>
        <v>S41</v>
      </c>
    </row>
    <row r="652" spans="1:3" x14ac:dyDescent="0.35">
      <c r="A652" s="12">
        <v>45942</v>
      </c>
      <c r="B652" s="89">
        <f>MONTH(Table14[[#This Row],[Date]])</f>
        <v>10</v>
      </c>
      <c r="C652" s="89" t="str">
        <f>"S" &amp; WEEKNUM(Table14[[#This Row],[Date]])</f>
        <v>S42</v>
      </c>
    </row>
    <row r="653" spans="1:3" x14ac:dyDescent="0.35">
      <c r="A653" s="12">
        <v>45943</v>
      </c>
      <c r="B653" s="89">
        <f>MONTH(Table14[[#This Row],[Date]])</f>
        <v>10</v>
      </c>
      <c r="C653" s="89" t="str">
        <f>"S" &amp; WEEKNUM(Table14[[#This Row],[Date]])</f>
        <v>S42</v>
      </c>
    </row>
    <row r="654" spans="1:3" x14ac:dyDescent="0.35">
      <c r="A654" s="12">
        <v>45944</v>
      </c>
      <c r="B654" s="89">
        <f>MONTH(Table14[[#This Row],[Date]])</f>
        <v>10</v>
      </c>
      <c r="C654" s="89" t="str">
        <f>"S" &amp; WEEKNUM(Table14[[#This Row],[Date]])</f>
        <v>S42</v>
      </c>
    </row>
    <row r="655" spans="1:3" x14ac:dyDescent="0.35">
      <c r="A655" s="12">
        <v>45945</v>
      </c>
      <c r="B655" s="89">
        <f>MONTH(Table14[[#This Row],[Date]])</f>
        <v>10</v>
      </c>
      <c r="C655" s="89" t="str">
        <f>"S" &amp; WEEKNUM(Table14[[#This Row],[Date]])</f>
        <v>S42</v>
      </c>
    </row>
    <row r="656" spans="1:3" x14ac:dyDescent="0.35">
      <c r="A656" s="12">
        <v>45946</v>
      </c>
      <c r="B656" s="89">
        <f>MONTH(Table14[[#This Row],[Date]])</f>
        <v>10</v>
      </c>
      <c r="C656" s="89" t="str">
        <f>"S" &amp; WEEKNUM(Table14[[#This Row],[Date]])</f>
        <v>S42</v>
      </c>
    </row>
    <row r="657" spans="1:3" x14ac:dyDescent="0.35">
      <c r="A657" s="12">
        <v>45947</v>
      </c>
      <c r="B657" s="89">
        <f>MONTH(Table14[[#This Row],[Date]])</f>
        <v>10</v>
      </c>
      <c r="C657" s="89" t="str">
        <f>"S" &amp; WEEKNUM(Table14[[#This Row],[Date]])</f>
        <v>S42</v>
      </c>
    </row>
    <row r="658" spans="1:3" x14ac:dyDescent="0.35">
      <c r="A658" s="12">
        <v>45948</v>
      </c>
      <c r="B658" s="89">
        <f>MONTH(Table14[[#This Row],[Date]])</f>
        <v>10</v>
      </c>
      <c r="C658" s="89" t="str">
        <f>"S" &amp; WEEKNUM(Table14[[#This Row],[Date]])</f>
        <v>S42</v>
      </c>
    </row>
    <row r="659" spans="1:3" x14ac:dyDescent="0.35">
      <c r="A659" s="12">
        <v>45949</v>
      </c>
      <c r="B659" s="89">
        <f>MONTH(Table14[[#This Row],[Date]])</f>
        <v>10</v>
      </c>
      <c r="C659" s="89" t="str">
        <f>"S" &amp; WEEKNUM(Table14[[#This Row],[Date]])</f>
        <v>S43</v>
      </c>
    </row>
    <row r="660" spans="1:3" x14ac:dyDescent="0.35">
      <c r="A660" s="12">
        <v>45950</v>
      </c>
      <c r="B660" s="89">
        <f>MONTH(Table14[[#This Row],[Date]])</f>
        <v>10</v>
      </c>
      <c r="C660" s="89" t="str">
        <f>"S" &amp; WEEKNUM(Table14[[#This Row],[Date]])</f>
        <v>S43</v>
      </c>
    </row>
    <row r="661" spans="1:3" x14ac:dyDescent="0.35">
      <c r="A661" s="12">
        <v>45951</v>
      </c>
      <c r="B661" s="89">
        <f>MONTH(Table14[[#This Row],[Date]])</f>
        <v>10</v>
      </c>
      <c r="C661" s="89" t="str">
        <f>"S" &amp; WEEKNUM(Table14[[#This Row],[Date]])</f>
        <v>S43</v>
      </c>
    </row>
    <row r="662" spans="1:3" x14ac:dyDescent="0.35">
      <c r="A662" s="12">
        <v>45952</v>
      </c>
      <c r="B662" s="89">
        <f>MONTH(Table14[[#This Row],[Date]])</f>
        <v>10</v>
      </c>
      <c r="C662" s="89" t="str">
        <f>"S" &amp; WEEKNUM(Table14[[#This Row],[Date]])</f>
        <v>S43</v>
      </c>
    </row>
    <row r="663" spans="1:3" x14ac:dyDescent="0.35">
      <c r="A663" s="12">
        <v>45953</v>
      </c>
      <c r="B663" s="89">
        <f>MONTH(Table14[[#This Row],[Date]])</f>
        <v>10</v>
      </c>
      <c r="C663" s="89" t="str">
        <f>"S" &amp; WEEKNUM(Table14[[#This Row],[Date]])</f>
        <v>S43</v>
      </c>
    </row>
    <row r="664" spans="1:3" x14ac:dyDescent="0.35">
      <c r="A664" s="12">
        <v>45954</v>
      </c>
      <c r="B664" s="89">
        <f>MONTH(Table14[[#This Row],[Date]])</f>
        <v>10</v>
      </c>
      <c r="C664" s="89" t="str">
        <f>"S" &amp; WEEKNUM(Table14[[#This Row],[Date]])</f>
        <v>S43</v>
      </c>
    </row>
    <row r="665" spans="1:3" x14ac:dyDescent="0.35">
      <c r="A665" s="12">
        <v>45955</v>
      </c>
      <c r="B665" s="89">
        <f>MONTH(Table14[[#This Row],[Date]])</f>
        <v>10</v>
      </c>
      <c r="C665" s="89" t="str">
        <f>"S" &amp; WEEKNUM(Table14[[#This Row],[Date]])</f>
        <v>S43</v>
      </c>
    </row>
    <row r="666" spans="1:3" x14ac:dyDescent="0.35">
      <c r="A666" s="12">
        <v>45956</v>
      </c>
      <c r="B666" s="89">
        <f>MONTH(Table14[[#This Row],[Date]])</f>
        <v>10</v>
      </c>
      <c r="C666" s="89" t="str">
        <f>"S" &amp; WEEKNUM(Table14[[#This Row],[Date]])</f>
        <v>S44</v>
      </c>
    </row>
    <row r="667" spans="1:3" x14ac:dyDescent="0.35">
      <c r="A667" s="12">
        <v>45957</v>
      </c>
      <c r="B667" s="89">
        <f>MONTH(Table14[[#This Row],[Date]])</f>
        <v>10</v>
      </c>
      <c r="C667" s="89" t="str">
        <f>"S" &amp; WEEKNUM(Table14[[#This Row],[Date]])</f>
        <v>S44</v>
      </c>
    </row>
    <row r="668" spans="1:3" x14ac:dyDescent="0.35">
      <c r="A668" s="12">
        <v>45958</v>
      </c>
      <c r="B668" s="89">
        <f>MONTH(Table14[[#This Row],[Date]])</f>
        <v>10</v>
      </c>
      <c r="C668" s="89" t="str">
        <f>"S" &amp; WEEKNUM(Table14[[#This Row],[Date]])</f>
        <v>S44</v>
      </c>
    </row>
    <row r="669" spans="1:3" x14ac:dyDescent="0.35">
      <c r="A669" s="12">
        <v>45959</v>
      </c>
      <c r="B669" s="89">
        <f>MONTH(Table14[[#This Row],[Date]])</f>
        <v>10</v>
      </c>
      <c r="C669" s="89" t="str">
        <f>"S" &amp; WEEKNUM(Table14[[#This Row],[Date]])</f>
        <v>S44</v>
      </c>
    </row>
    <row r="670" spans="1:3" x14ac:dyDescent="0.35">
      <c r="A670" s="12">
        <v>45960</v>
      </c>
      <c r="B670" s="89">
        <f>MONTH(Table14[[#This Row],[Date]])</f>
        <v>10</v>
      </c>
      <c r="C670" s="89" t="str">
        <f>"S" &amp; WEEKNUM(Table14[[#This Row],[Date]])</f>
        <v>S44</v>
      </c>
    </row>
    <row r="671" spans="1:3" x14ac:dyDescent="0.35">
      <c r="A671" s="12">
        <v>45961</v>
      </c>
      <c r="B671" s="89">
        <f>MONTH(Table14[[#This Row],[Date]])</f>
        <v>10</v>
      </c>
      <c r="C671" s="89" t="str">
        <f>"S" &amp; WEEKNUM(Table14[[#This Row],[Date]])</f>
        <v>S44</v>
      </c>
    </row>
    <row r="672" spans="1:3" x14ac:dyDescent="0.35">
      <c r="A672" s="12">
        <v>45962</v>
      </c>
      <c r="B672" s="89">
        <f>MONTH(Table14[[#This Row],[Date]])</f>
        <v>11</v>
      </c>
      <c r="C672" s="89" t="str">
        <f>"S" &amp; WEEKNUM(Table14[[#This Row],[Date]])</f>
        <v>S44</v>
      </c>
    </row>
    <row r="673" spans="1:3" x14ac:dyDescent="0.35">
      <c r="A673" s="12">
        <v>45963</v>
      </c>
      <c r="B673" s="89">
        <f>MONTH(Table14[[#This Row],[Date]])</f>
        <v>11</v>
      </c>
      <c r="C673" s="89" t="str">
        <f>"S" &amp; WEEKNUM(Table14[[#This Row],[Date]])</f>
        <v>S45</v>
      </c>
    </row>
    <row r="674" spans="1:3" x14ac:dyDescent="0.35">
      <c r="A674" s="12">
        <v>45964</v>
      </c>
      <c r="B674" s="89">
        <f>MONTH(Table14[[#This Row],[Date]])</f>
        <v>11</v>
      </c>
      <c r="C674" s="89" t="str">
        <f>"S" &amp; WEEKNUM(Table14[[#This Row],[Date]])</f>
        <v>S45</v>
      </c>
    </row>
    <row r="675" spans="1:3" x14ac:dyDescent="0.35">
      <c r="A675" s="12">
        <v>45965</v>
      </c>
      <c r="B675" s="89">
        <f>MONTH(Table14[[#This Row],[Date]])</f>
        <v>11</v>
      </c>
      <c r="C675" s="89" t="str">
        <f>"S" &amp; WEEKNUM(Table14[[#This Row],[Date]])</f>
        <v>S45</v>
      </c>
    </row>
    <row r="676" spans="1:3" x14ac:dyDescent="0.35">
      <c r="A676" s="12">
        <v>45966</v>
      </c>
      <c r="B676" s="89">
        <f>MONTH(Table14[[#This Row],[Date]])</f>
        <v>11</v>
      </c>
      <c r="C676" s="89" t="str">
        <f>"S" &amp; WEEKNUM(Table14[[#This Row],[Date]])</f>
        <v>S45</v>
      </c>
    </row>
    <row r="677" spans="1:3" x14ac:dyDescent="0.35">
      <c r="A677" s="12">
        <v>45967</v>
      </c>
      <c r="B677" s="89">
        <f>MONTH(Table14[[#This Row],[Date]])</f>
        <v>11</v>
      </c>
      <c r="C677" s="89" t="str">
        <f>"S" &amp; WEEKNUM(Table14[[#This Row],[Date]])</f>
        <v>S45</v>
      </c>
    </row>
    <row r="678" spans="1:3" x14ac:dyDescent="0.35">
      <c r="A678" s="12">
        <v>45968</v>
      </c>
      <c r="B678" s="89">
        <f>MONTH(Table14[[#This Row],[Date]])</f>
        <v>11</v>
      </c>
      <c r="C678" s="89" t="str">
        <f>"S" &amp; WEEKNUM(Table14[[#This Row],[Date]])</f>
        <v>S45</v>
      </c>
    </row>
    <row r="679" spans="1:3" x14ac:dyDescent="0.35">
      <c r="A679" s="12">
        <v>45969</v>
      </c>
      <c r="B679" s="89">
        <f>MONTH(Table14[[#This Row],[Date]])</f>
        <v>11</v>
      </c>
      <c r="C679" s="89" t="str">
        <f>"S" &amp; WEEKNUM(Table14[[#This Row],[Date]])</f>
        <v>S45</v>
      </c>
    </row>
    <row r="680" spans="1:3" x14ac:dyDescent="0.35">
      <c r="A680" s="12">
        <v>45970</v>
      </c>
      <c r="B680" s="89">
        <f>MONTH(Table14[[#This Row],[Date]])</f>
        <v>11</v>
      </c>
      <c r="C680" s="89" t="str">
        <f>"S" &amp; WEEKNUM(Table14[[#This Row],[Date]])</f>
        <v>S46</v>
      </c>
    </row>
    <row r="681" spans="1:3" x14ac:dyDescent="0.35">
      <c r="A681" s="12">
        <v>45971</v>
      </c>
      <c r="B681" s="89">
        <f>MONTH(Table14[[#This Row],[Date]])</f>
        <v>11</v>
      </c>
      <c r="C681" s="89" t="str">
        <f>"S" &amp; WEEKNUM(Table14[[#This Row],[Date]])</f>
        <v>S46</v>
      </c>
    </row>
    <row r="682" spans="1:3" x14ac:dyDescent="0.35">
      <c r="A682" s="12">
        <v>45972</v>
      </c>
      <c r="B682" s="89">
        <f>MONTH(Table14[[#This Row],[Date]])</f>
        <v>11</v>
      </c>
      <c r="C682" s="89" t="str">
        <f>"S" &amp; WEEKNUM(Table14[[#This Row],[Date]])</f>
        <v>S46</v>
      </c>
    </row>
    <row r="683" spans="1:3" x14ac:dyDescent="0.35">
      <c r="A683" s="12">
        <v>45973</v>
      </c>
      <c r="B683" s="89">
        <f>MONTH(Table14[[#This Row],[Date]])</f>
        <v>11</v>
      </c>
      <c r="C683" s="89" t="str">
        <f>"S" &amp; WEEKNUM(Table14[[#This Row],[Date]])</f>
        <v>S46</v>
      </c>
    </row>
    <row r="684" spans="1:3" x14ac:dyDescent="0.35">
      <c r="A684" s="12">
        <v>45974</v>
      </c>
      <c r="B684" s="89">
        <f>MONTH(Table14[[#This Row],[Date]])</f>
        <v>11</v>
      </c>
      <c r="C684" s="89" t="str">
        <f>"S" &amp; WEEKNUM(Table14[[#This Row],[Date]])</f>
        <v>S46</v>
      </c>
    </row>
    <row r="685" spans="1:3" x14ac:dyDescent="0.35">
      <c r="A685" s="12">
        <v>45975</v>
      </c>
      <c r="B685" s="89">
        <f>MONTH(Table14[[#This Row],[Date]])</f>
        <v>11</v>
      </c>
      <c r="C685" s="89" t="str">
        <f>"S" &amp; WEEKNUM(Table14[[#This Row],[Date]])</f>
        <v>S46</v>
      </c>
    </row>
    <row r="686" spans="1:3" x14ac:dyDescent="0.35">
      <c r="A686" s="12">
        <v>45976</v>
      </c>
      <c r="B686" s="89">
        <f>MONTH(Table14[[#This Row],[Date]])</f>
        <v>11</v>
      </c>
      <c r="C686" s="89" t="str">
        <f>"S" &amp; WEEKNUM(Table14[[#This Row],[Date]])</f>
        <v>S46</v>
      </c>
    </row>
    <row r="687" spans="1:3" x14ac:dyDescent="0.35">
      <c r="A687" s="12">
        <v>45977</v>
      </c>
      <c r="B687" s="89">
        <f>MONTH(Table14[[#This Row],[Date]])</f>
        <v>11</v>
      </c>
      <c r="C687" s="89" t="str">
        <f>"S" &amp; WEEKNUM(Table14[[#This Row],[Date]])</f>
        <v>S47</v>
      </c>
    </row>
    <row r="688" spans="1:3" x14ac:dyDescent="0.35">
      <c r="A688" s="12">
        <v>45978</v>
      </c>
      <c r="B688" s="89">
        <f>MONTH(Table14[[#This Row],[Date]])</f>
        <v>11</v>
      </c>
      <c r="C688" s="89" t="str">
        <f>"S" &amp; WEEKNUM(Table14[[#This Row],[Date]])</f>
        <v>S47</v>
      </c>
    </row>
    <row r="689" spans="1:3" x14ac:dyDescent="0.35">
      <c r="A689" s="12">
        <v>45979</v>
      </c>
      <c r="B689" s="89">
        <f>MONTH(Table14[[#This Row],[Date]])</f>
        <v>11</v>
      </c>
      <c r="C689" s="89" t="str">
        <f>"S" &amp; WEEKNUM(Table14[[#This Row],[Date]])</f>
        <v>S47</v>
      </c>
    </row>
    <row r="690" spans="1:3" x14ac:dyDescent="0.35">
      <c r="A690" s="12">
        <v>45980</v>
      </c>
      <c r="B690" s="89">
        <f>MONTH(Table14[[#This Row],[Date]])</f>
        <v>11</v>
      </c>
      <c r="C690" s="89" t="str">
        <f>"S" &amp; WEEKNUM(Table14[[#This Row],[Date]])</f>
        <v>S47</v>
      </c>
    </row>
    <row r="691" spans="1:3" x14ac:dyDescent="0.35">
      <c r="A691" s="12">
        <v>45981</v>
      </c>
      <c r="B691" s="89">
        <f>MONTH(Table14[[#This Row],[Date]])</f>
        <v>11</v>
      </c>
      <c r="C691" s="89" t="str">
        <f>"S" &amp; WEEKNUM(Table14[[#This Row],[Date]])</f>
        <v>S47</v>
      </c>
    </row>
    <row r="692" spans="1:3" x14ac:dyDescent="0.35">
      <c r="A692" s="12">
        <v>45982</v>
      </c>
      <c r="B692" s="89">
        <f>MONTH(Table14[[#This Row],[Date]])</f>
        <v>11</v>
      </c>
      <c r="C692" s="89" t="str">
        <f>"S" &amp; WEEKNUM(Table14[[#This Row],[Date]])</f>
        <v>S47</v>
      </c>
    </row>
    <row r="693" spans="1:3" x14ac:dyDescent="0.35">
      <c r="A693" s="12">
        <v>45983</v>
      </c>
      <c r="B693" s="89">
        <f>MONTH(Table14[[#This Row],[Date]])</f>
        <v>11</v>
      </c>
      <c r="C693" s="89" t="str">
        <f>"S" &amp; WEEKNUM(Table14[[#This Row],[Date]])</f>
        <v>S47</v>
      </c>
    </row>
    <row r="694" spans="1:3" x14ac:dyDescent="0.35">
      <c r="A694" s="12">
        <v>45984</v>
      </c>
      <c r="B694" s="89">
        <f>MONTH(Table14[[#This Row],[Date]])</f>
        <v>11</v>
      </c>
      <c r="C694" s="89" t="str">
        <f>"S" &amp; WEEKNUM(Table14[[#This Row],[Date]])</f>
        <v>S48</v>
      </c>
    </row>
    <row r="695" spans="1:3" x14ac:dyDescent="0.35">
      <c r="A695" s="12">
        <v>45985</v>
      </c>
      <c r="B695" s="89">
        <f>MONTH(Table14[[#This Row],[Date]])</f>
        <v>11</v>
      </c>
      <c r="C695" s="89" t="str">
        <f>"S" &amp; WEEKNUM(Table14[[#This Row],[Date]])</f>
        <v>S48</v>
      </c>
    </row>
    <row r="696" spans="1:3" x14ac:dyDescent="0.35">
      <c r="A696" s="12">
        <v>45986</v>
      </c>
      <c r="B696" s="89">
        <f>MONTH(Table14[[#This Row],[Date]])</f>
        <v>11</v>
      </c>
      <c r="C696" s="89" t="str">
        <f>"S" &amp; WEEKNUM(Table14[[#This Row],[Date]])</f>
        <v>S48</v>
      </c>
    </row>
    <row r="697" spans="1:3" x14ac:dyDescent="0.35">
      <c r="A697" s="12">
        <v>45987</v>
      </c>
      <c r="B697" s="89">
        <f>MONTH(Table14[[#This Row],[Date]])</f>
        <v>11</v>
      </c>
      <c r="C697" s="89" t="str">
        <f>"S" &amp; WEEKNUM(Table14[[#This Row],[Date]])</f>
        <v>S48</v>
      </c>
    </row>
    <row r="698" spans="1:3" x14ac:dyDescent="0.35">
      <c r="A698" s="12">
        <v>45988</v>
      </c>
      <c r="B698" s="89">
        <f>MONTH(Table14[[#This Row],[Date]])</f>
        <v>11</v>
      </c>
      <c r="C698" s="89" t="str">
        <f>"S" &amp; WEEKNUM(Table14[[#This Row],[Date]])</f>
        <v>S48</v>
      </c>
    </row>
    <row r="699" spans="1:3" x14ac:dyDescent="0.35">
      <c r="A699" s="12">
        <v>45989</v>
      </c>
      <c r="B699" s="89">
        <f>MONTH(Table14[[#This Row],[Date]])</f>
        <v>11</v>
      </c>
      <c r="C699" s="89" t="str">
        <f>"S" &amp; WEEKNUM(Table14[[#This Row],[Date]])</f>
        <v>S48</v>
      </c>
    </row>
    <row r="700" spans="1:3" x14ac:dyDescent="0.35">
      <c r="A700" s="12">
        <v>45990</v>
      </c>
      <c r="B700" s="89">
        <f>MONTH(Table14[[#This Row],[Date]])</f>
        <v>11</v>
      </c>
      <c r="C700" s="89" t="str">
        <f>"S" &amp; WEEKNUM(Table14[[#This Row],[Date]])</f>
        <v>S48</v>
      </c>
    </row>
    <row r="701" spans="1:3" x14ac:dyDescent="0.35">
      <c r="A701" s="12">
        <v>45991</v>
      </c>
      <c r="B701" s="89">
        <f>MONTH(Table14[[#This Row],[Date]])</f>
        <v>11</v>
      </c>
      <c r="C701" s="89" t="str">
        <f>"S" &amp; WEEKNUM(Table14[[#This Row],[Date]])</f>
        <v>S49</v>
      </c>
    </row>
    <row r="702" spans="1:3" x14ac:dyDescent="0.35">
      <c r="A702" s="12">
        <v>45992</v>
      </c>
      <c r="B702" s="89">
        <f>MONTH(Table14[[#This Row],[Date]])</f>
        <v>12</v>
      </c>
      <c r="C702" s="89" t="str">
        <f>"S" &amp; WEEKNUM(Table14[[#This Row],[Date]])</f>
        <v>S49</v>
      </c>
    </row>
    <row r="703" spans="1:3" x14ac:dyDescent="0.35">
      <c r="A703" s="12">
        <v>45993</v>
      </c>
      <c r="B703" s="89">
        <f>MONTH(Table14[[#This Row],[Date]])</f>
        <v>12</v>
      </c>
      <c r="C703" s="89" t="str">
        <f>"S" &amp; WEEKNUM(Table14[[#This Row],[Date]])</f>
        <v>S49</v>
      </c>
    </row>
    <row r="704" spans="1:3" x14ac:dyDescent="0.35">
      <c r="A704" s="12">
        <v>45994</v>
      </c>
      <c r="B704" s="89">
        <f>MONTH(Table14[[#This Row],[Date]])</f>
        <v>12</v>
      </c>
      <c r="C704" s="89" t="str">
        <f>"S" &amp; WEEKNUM(Table14[[#This Row],[Date]])</f>
        <v>S49</v>
      </c>
    </row>
    <row r="705" spans="1:3" x14ac:dyDescent="0.35">
      <c r="A705" s="12">
        <v>45995</v>
      </c>
      <c r="B705" s="89">
        <f>MONTH(Table14[[#This Row],[Date]])</f>
        <v>12</v>
      </c>
      <c r="C705" s="89" t="str">
        <f>"S" &amp; WEEKNUM(Table14[[#This Row],[Date]])</f>
        <v>S49</v>
      </c>
    </row>
    <row r="706" spans="1:3" x14ac:dyDescent="0.35">
      <c r="A706" s="12">
        <v>45996</v>
      </c>
      <c r="B706" s="89">
        <f>MONTH(Table14[[#This Row],[Date]])</f>
        <v>12</v>
      </c>
      <c r="C706" s="89" t="str">
        <f>"S" &amp; WEEKNUM(Table14[[#This Row],[Date]])</f>
        <v>S49</v>
      </c>
    </row>
    <row r="707" spans="1:3" x14ac:dyDescent="0.35">
      <c r="A707" s="12">
        <v>45997</v>
      </c>
      <c r="B707" s="89">
        <f>MONTH(Table14[[#This Row],[Date]])</f>
        <v>12</v>
      </c>
      <c r="C707" s="89" t="str">
        <f>"S" &amp; WEEKNUM(Table14[[#This Row],[Date]])</f>
        <v>S49</v>
      </c>
    </row>
    <row r="708" spans="1:3" x14ac:dyDescent="0.35">
      <c r="A708" s="12">
        <v>45998</v>
      </c>
      <c r="B708" s="89">
        <f>MONTH(Table14[[#This Row],[Date]])</f>
        <v>12</v>
      </c>
      <c r="C708" s="89" t="str">
        <f>"S" &amp; WEEKNUM(Table14[[#This Row],[Date]])</f>
        <v>S50</v>
      </c>
    </row>
    <row r="709" spans="1:3" x14ac:dyDescent="0.35">
      <c r="A709" s="12">
        <v>45999</v>
      </c>
      <c r="B709" s="89">
        <f>MONTH(Table14[[#This Row],[Date]])</f>
        <v>12</v>
      </c>
      <c r="C709" s="89" t="str">
        <f>"S" &amp; WEEKNUM(Table14[[#This Row],[Date]])</f>
        <v>S50</v>
      </c>
    </row>
    <row r="710" spans="1:3" x14ac:dyDescent="0.35">
      <c r="A710" s="12">
        <v>46000</v>
      </c>
      <c r="B710" s="89">
        <f>MONTH(Table14[[#This Row],[Date]])</f>
        <v>12</v>
      </c>
      <c r="C710" s="89" t="str">
        <f>"S" &amp; WEEKNUM(Table14[[#This Row],[Date]])</f>
        <v>S50</v>
      </c>
    </row>
    <row r="711" spans="1:3" x14ac:dyDescent="0.35">
      <c r="A711" s="12">
        <v>46001</v>
      </c>
      <c r="B711" s="89">
        <f>MONTH(Table14[[#This Row],[Date]])</f>
        <v>12</v>
      </c>
      <c r="C711" s="89" t="str">
        <f>"S" &amp; WEEKNUM(Table14[[#This Row],[Date]])</f>
        <v>S50</v>
      </c>
    </row>
    <row r="712" spans="1:3" x14ac:dyDescent="0.35">
      <c r="A712" s="12">
        <v>46002</v>
      </c>
      <c r="B712" s="89">
        <f>MONTH(Table14[[#This Row],[Date]])</f>
        <v>12</v>
      </c>
      <c r="C712" s="89" t="str">
        <f>"S" &amp; WEEKNUM(Table14[[#This Row],[Date]])</f>
        <v>S50</v>
      </c>
    </row>
    <row r="713" spans="1:3" x14ac:dyDescent="0.35">
      <c r="A713" s="12">
        <v>46003</v>
      </c>
      <c r="B713" s="89">
        <f>MONTH(Table14[[#This Row],[Date]])</f>
        <v>12</v>
      </c>
      <c r="C713" s="89" t="str">
        <f>"S" &amp; WEEKNUM(Table14[[#This Row],[Date]])</f>
        <v>S50</v>
      </c>
    </row>
    <row r="714" spans="1:3" x14ac:dyDescent="0.35">
      <c r="A714" s="12">
        <v>46004</v>
      </c>
      <c r="B714" s="89">
        <f>MONTH(Table14[[#This Row],[Date]])</f>
        <v>12</v>
      </c>
      <c r="C714" s="89" t="str">
        <f>"S" &amp; WEEKNUM(Table14[[#This Row],[Date]])</f>
        <v>S50</v>
      </c>
    </row>
    <row r="715" spans="1:3" x14ac:dyDescent="0.35">
      <c r="A715" s="12">
        <v>46005</v>
      </c>
      <c r="B715" s="89">
        <f>MONTH(Table14[[#This Row],[Date]])</f>
        <v>12</v>
      </c>
      <c r="C715" s="89" t="str">
        <f>"S" &amp; WEEKNUM(Table14[[#This Row],[Date]])</f>
        <v>S51</v>
      </c>
    </row>
    <row r="716" spans="1:3" x14ac:dyDescent="0.35">
      <c r="A716" s="12">
        <v>46006</v>
      </c>
      <c r="B716" s="89">
        <f>MONTH(Table14[[#This Row],[Date]])</f>
        <v>12</v>
      </c>
      <c r="C716" s="89" t="str">
        <f>"S" &amp; WEEKNUM(Table14[[#This Row],[Date]])</f>
        <v>S51</v>
      </c>
    </row>
    <row r="717" spans="1:3" x14ac:dyDescent="0.35">
      <c r="A717" s="12">
        <v>46007</v>
      </c>
      <c r="B717" s="89">
        <f>MONTH(Table14[[#This Row],[Date]])</f>
        <v>12</v>
      </c>
      <c r="C717" s="89" t="str">
        <f>"S" &amp; WEEKNUM(Table14[[#This Row],[Date]])</f>
        <v>S51</v>
      </c>
    </row>
    <row r="718" spans="1:3" x14ac:dyDescent="0.35">
      <c r="A718" s="12">
        <v>46008</v>
      </c>
      <c r="B718" s="89">
        <f>MONTH(Table14[[#This Row],[Date]])</f>
        <v>12</v>
      </c>
      <c r="C718" s="89" t="str">
        <f>"S" &amp; WEEKNUM(Table14[[#This Row],[Date]])</f>
        <v>S51</v>
      </c>
    </row>
    <row r="719" spans="1:3" x14ac:dyDescent="0.35">
      <c r="A719" s="12">
        <v>46009</v>
      </c>
      <c r="B719" s="89">
        <f>MONTH(Table14[[#This Row],[Date]])</f>
        <v>12</v>
      </c>
      <c r="C719" s="89" t="str">
        <f>"S" &amp; WEEKNUM(Table14[[#This Row],[Date]])</f>
        <v>S51</v>
      </c>
    </row>
    <row r="720" spans="1:3" x14ac:dyDescent="0.35">
      <c r="A720" s="12">
        <v>46010</v>
      </c>
      <c r="B720" s="89">
        <f>MONTH(Table14[[#This Row],[Date]])</f>
        <v>12</v>
      </c>
      <c r="C720" s="89" t="str">
        <f>"S" &amp; WEEKNUM(Table14[[#This Row],[Date]])</f>
        <v>S51</v>
      </c>
    </row>
    <row r="721" spans="1:3" x14ac:dyDescent="0.35">
      <c r="A721" s="12">
        <v>46011</v>
      </c>
      <c r="B721" s="89">
        <f>MONTH(Table14[[#This Row],[Date]])</f>
        <v>12</v>
      </c>
      <c r="C721" s="89" t="str">
        <f>"S" &amp; WEEKNUM(Table14[[#This Row],[Date]])</f>
        <v>S51</v>
      </c>
    </row>
    <row r="722" spans="1:3" x14ac:dyDescent="0.35">
      <c r="A722" s="12">
        <v>46012</v>
      </c>
      <c r="B722" s="89">
        <f>MONTH(Table14[[#This Row],[Date]])</f>
        <v>12</v>
      </c>
      <c r="C722" s="89" t="str">
        <f>"S" &amp; WEEKNUM(Table14[[#This Row],[Date]])</f>
        <v>S52</v>
      </c>
    </row>
    <row r="723" spans="1:3" x14ac:dyDescent="0.35">
      <c r="A723" s="12">
        <v>46013</v>
      </c>
      <c r="B723" s="89">
        <f>MONTH(Table14[[#This Row],[Date]])</f>
        <v>12</v>
      </c>
      <c r="C723" s="89" t="str">
        <f>"S" &amp; WEEKNUM(Table14[[#This Row],[Date]])</f>
        <v>S52</v>
      </c>
    </row>
    <row r="724" spans="1:3" x14ac:dyDescent="0.35">
      <c r="A724" s="12">
        <v>46014</v>
      </c>
      <c r="B724" s="89">
        <f>MONTH(Table14[[#This Row],[Date]])</f>
        <v>12</v>
      </c>
      <c r="C724" s="89" t="str">
        <f>"S" &amp; WEEKNUM(Table14[[#This Row],[Date]])</f>
        <v>S52</v>
      </c>
    </row>
    <row r="725" spans="1:3" x14ac:dyDescent="0.35">
      <c r="A725" s="12">
        <v>46015</v>
      </c>
      <c r="B725" s="89">
        <f>MONTH(Table14[[#This Row],[Date]])</f>
        <v>12</v>
      </c>
      <c r="C725" s="89" t="str">
        <f>"S" &amp; WEEKNUM(Table14[[#This Row],[Date]])</f>
        <v>S52</v>
      </c>
    </row>
    <row r="726" spans="1:3" x14ac:dyDescent="0.35">
      <c r="A726" s="12">
        <v>46016</v>
      </c>
      <c r="B726" s="89">
        <f>MONTH(Table14[[#This Row],[Date]])</f>
        <v>12</v>
      </c>
      <c r="C726" s="89" t="str">
        <f>"S" &amp; WEEKNUM(Table14[[#This Row],[Date]])</f>
        <v>S52</v>
      </c>
    </row>
    <row r="727" spans="1:3" x14ac:dyDescent="0.35">
      <c r="A727" s="12">
        <v>46017</v>
      </c>
      <c r="B727" s="89">
        <f>MONTH(Table14[[#This Row],[Date]])</f>
        <v>12</v>
      </c>
      <c r="C727" s="89" t="str">
        <f>"S" &amp; WEEKNUM(Table14[[#This Row],[Date]])</f>
        <v>S52</v>
      </c>
    </row>
    <row r="728" spans="1:3" x14ac:dyDescent="0.35">
      <c r="A728" s="12">
        <v>46018</v>
      </c>
      <c r="B728" s="89">
        <f>MONTH(Table14[[#This Row],[Date]])</f>
        <v>12</v>
      </c>
      <c r="C728" s="89" t="str">
        <f>"S" &amp; WEEKNUM(Table14[[#This Row],[Date]])</f>
        <v>S52</v>
      </c>
    </row>
    <row r="729" spans="1:3" x14ac:dyDescent="0.35">
      <c r="A729" s="12">
        <v>46019</v>
      </c>
      <c r="B729" s="89">
        <f>MONTH(Table14[[#This Row],[Date]])</f>
        <v>12</v>
      </c>
      <c r="C729" s="89" t="str">
        <f>"S" &amp; WEEKNUM(Table14[[#This Row],[Date]])</f>
        <v>S53</v>
      </c>
    </row>
    <row r="730" spans="1:3" x14ac:dyDescent="0.35">
      <c r="A730" s="12">
        <v>46020</v>
      </c>
      <c r="B730" s="89">
        <f>MONTH(Table14[[#This Row],[Date]])</f>
        <v>12</v>
      </c>
      <c r="C730" s="89" t="str">
        <f>"S" &amp; WEEKNUM(Table14[[#This Row],[Date]])</f>
        <v>S53</v>
      </c>
    </row>
    <row r="731" spans="1:3" x14ac:dyDescent="0.35">
      <c r="A731" s="12">
        <v>46021</v>
      </c>
      <c r="B731" s="89">
        <f>MONTH(Table14[[#This Row],[Date]])</f>
        <v>12</v>
      </c>
      <c r="C731" s="89" t="str">
        <f>"S" &amp; WEEKNUM(Table14[[#This Row],[Date]])</f>
        <v>S53</v>
      </c>
    </row>
    <row r="732" spans="1:3" x14ac:dyDescent="0.35">
      <c r="A732" s="12">
        <v>46022</v>
      </c>
      <c r="B732" s="89">
        <f>MONTH(Table14[[#This Row],[Date]])</f>
        <v>12</v>
      </c>
      <c r="C732" s="89" t="str">
        <f>"S" &amp; WEEKNUM(Table14[[#This Row],[Date]])</f>
        <v>S53</v>
      </c>
    </row>
    <row r="733" spans="1:3" x14ac:dyDescent="0.35">
      <c r="A733" s="12">
        <v>46023</v>
      </c>
      <c r="B733" s="89">
        <f>MONTH(Table14[[#This Row],[Date]])</f>
        <v>1</v>
      </c>
      <c r="C733" s="89" t="str">
        <f>"S" &amp; WEEKNUM(Table14[[#This Row],[Date]])</f>
        <v>S1</v>
      </c>
    </row>
    <row r="734" spans="1:3" x14ac:dyDescent="0.35">
      <c r="A734" s="12">
        <v>46024</v>
      </c>
      <c r="B734" s="89">
        <f>MONTH(Table14[[#This Row],[Date]])</f>
        <v>1</v>
      </c>
      <c r="C734" s="89" t="str">
        <f>"S" &amp; WEEKNUM(Table14[[#This Row],[Date]])</f>
        <v>S1</v>
      </c>
    </row>
    <row r="735" spans="1:3" x14ac:dyDescent="0.35">
      <c r="A735" s="12">
        <v>46025</v>
      </c>
      <c r="B735" s="89">
        <f>MONTH(Table14[[#This Row],[Date]])</f>
        <v>1</v>
      </c>
      <c r="C735" s="89" t="str">
        <f>"S" &amp; WEEKNUM(Table14[[#This Row],[Date]])</f>
        <v>S1</v>
      </c>
    </row>
    <row r="736" spans="1:3" x14ac:dyDescent="0.35">
      <c r="A736" s="12">
        <v>46026</v>
      </c>
      <c r="B736" s="89">
        <f>MONTH(Table14[[#This Row],[Date]])</f>
        <v>1</v>
      </c>
      <c r="C736" s="89" t="str">
        <f>"S" &amp; WEEKNUM(Table14[[#This Row],[Date]])</f>
        <v>S2</v>
      </c>
    </row>
    <row r="737" spans="1:3" x14ac:dyDescent="0.35">
      <c r="A737" s="12">
        <v>46027</v>
      </c>
      <c r="B737" s="89">
        <f>MONTH(Table14[[#This Row],[Date]])</f>
        <v>1</v>
      </c>
      <c r="C737" s="89" t="str">
        <f>"S" &amp; WEEKNUM(Table14[[#This Row],[Date]])</f>
        <v>S2</v>
      </c>
    </row>
    <row r="738" spans="1:3" x14ac:dyDescent="0.35">
      <c r="A738" s="12">
        <v>46028</v>
      </c>
      <c r="B738" s="89">
        <f>MONTH(Table14[[#This Row],[Date]])</f>
        <v>1</v>
      </c>
      <c r="C738" s="89" t="str">
        <f>"S" &amp; WEEKNUM(Table14[[#This Row],[Date]])</f>
        <v>S2</v>
      </c>
    </row>
    <row r="739" spans="1:3" x14ac:dyDescent="0.35">
      <c r="A739" s="12">
        <v>46029</v>
      </c>
      <c r="B739" s="89">
        <f>MONTH(Table14[[#This Row],[Date]])</f>
        <v>1</v>
      </c>
      <c r="C739" s="89" t="str">
        <f>"S" &amp; WEEKNUM(Table14[[#This Row],[Date]])</f>
        <v>S2</v>
      </c>
    </row>
    <row r="740" spans="1:3" x14ac:dyDescent="0.35">
      <c r="A740" s="12">
        <v>46030</v>
      </c>
      <c r="B740" s="89">
        <f>MONTH(Table14[[#This Row],[Date]])</f>
        <v>1</v>
      </c>
      <c r="C740" s="89" t="str">
        <f>"S" &amp; WEEKNUM(Table14[[#This Row],[Date]])</f>
        <v>S2</v>
      </c>
    </row>
    <row r="741" spans="1:3" x14ac:dyDescent="0.35">
      <c r="A741" s="12">
        <v>46031</v>
      </c>
      <c r="B741" s="89">
        <f>MONTH(Table14[[#This Row],[Date]])</f>
        <v>1</v>
      </c>
      <c r="C741" s="89" t="str">
        <f>"S" &amp; WEEKNUM(Table14[[#This Row],[Date]])</f>
        <v>S2</v>
      </c>
    </row>
    <row r="742" spans="1:3" x14ac:dyDescent="0.35">
      <c r="A742" s="12">
        <v>46032</v>
      </c>
      <c r="B742" s="89">
        <f>MONTH(Table14[[#This Row],[Date]])</f>
        <v>1</v>
      </c>
      <c r="C742" s="89" t="str">
        <f>"S" &amp; WEEKNUM(Table14[[#This Row],[Date]])</f>
        <v>S2</v>
      </c>
    </row>
    <row r="743" spans="1:3" x14ac:dyDescent="0.35">
      <c r="A743" s="12">
        <v>46033</v>
      </c>
      <c r="B743" s="89">
        <f>MONTH(Table14[[#This Row],[Date]])</f>
        <v>1</v>
      </c>
      <c r="C743" s="89" t="str">
        <f>"S" &amp; WEEKNUM(Table14[[#This Row],[Date]])</f>
        <v>S3</v>
      </c>
    </row>
    <row r="744" spans="1:3" x14ac:dyDescent="0.35">
      <c r="A744" s="12">
        <v>46034</v>
      </c>
      <c r="B744" s="89">
        <f>MONTH(Table14[[#This Row],[Date]])</f>
        <v>1</v>
      </c>
      <c r="C744" s="89" t="str">
        <f>"S" &amp; WEEKNUM(Table14[[#This Row],[Date]])</f>
        <v>S3</v>
      </c>
    </row>
    <row r="745" spans="1:3" x14ac:dyDescent="0.35">
      <c r="A745" s="12">
        <v>46035</v>
      </c>
      <c r="B745" s="89">
        <f>MONTH(Table14[[#This Row],[Date]])</f>
        <v>1</v>
      </c>
      <c r="C745" s="89" t="str">
        <f>"S" &amp; WEEKNUM(Table14[[#This Row],[Date]])</f>
        <v>S3</v>
      </c>
    </row>
    <row r="746" spans="1:3" x14ac:dyDescent="0.35">
      <c r="A746" s="12">
        <v>46036</v>
      </c>
      <c r="B746" s="89">
        <f>MONTH(Table14[[#This Row],[Date]])</f>
        <v>1</v>
      </c>
      <c r="C746" s="89" t="str">
        <f>"S" &amp; WEEKNUM(Table14[[#This Row],[Date]])</f>
        <v>S3</v>
      </c>
    </row>
    <row r="747" spans="1:3" x14ac:dyDescent="0.35">
      <c r="A747" s="12">
        <v>46037</v>
      </c>
      <c r="B747" s="89">
        <f>MONTH(Table14[[#This Row],[Date]])</f>
        <v>1</v>
      </c>
      <c r="C747" s="89" t="str">
        <f>"S" &amp; WEEKNUM(Table14[[#This Row],[Date]])</f>
        <v>S3</v>
      </c>
    </row>
    <row r="748" spans="1:3" x14ac:dyDescent="0.35">
      <c r="A748" s="12">
        <v>46038</v>
      </c>
      <c r="B748" s="89">
        <f>MONTH(Table14[[#This Row],[Date]])</f>
        <v>1</v>
      </c>
      <c r="C748" s="89" t="str">
        <f>"S" &amp; WEEKNUM(Table14[[#This Row],[Date]])</f>
        <v>S3</v>
      </c>
    </row>
    <row r="749" spans="1:3" x14ac:dyDescent="0.35">
      <c r="A749" s="12">
        <v>46039</v>
      </c>
      <c r="B749" s="89">
        <f>MONTH(Table14[[#This Row],[Date]])</f>
        <v>1</v>
      </c>
      <c r="C749" s="89" t="str">
        <f>"S" &amp; WEEKNUM(Table14[[#This Row],[Date]])</f>
        <v>S3</v>
      </c>
    </row>
    <row r="750" spans="1:3" x14ac:dyDescent="0.35">
      <c r="A750" s="12">
        <v>46040</v>
      </c>
      <c r="B750" s="89">
        <f>MONTH(Table14[[#This Row],[Date]])</f>
        <v>1</v>
      </c>
      <c r="C750" s="89" t="str">
        <f>"S" &amp; WEEKNUM(Table14[[#This Row],[Date]])</f>
        <v>S4</v>
      </c>
    </row>
    <row r="751" spans="1:3" x14ac:dyDescent="0.35">
      <c r="A751" s="12">
        <v>46041</v>
      </c>
      <c r="B751" s="89">
        <f>MONTH(Table14[[#This Row],[Date]])</f>
        <v>1</v>
      </c>
      <c r="C751" s="89" t="str">
        <f>"S" &amp; WEEKNUM(Table14[[#This Row],[Date]])</f>
        <v>S4</v>
      </c>
    </row>
    <row r="752" spans="1:3" x14ac:dyDescent="0.35">
      <c r="A752" s="12">
        <v>46042</v>
      </c>
      <c r="B752" s="89">
        <f>MONTH(Table14[[#This Row],[Date]])</f>
        <v>1</v>
      </c>
      <c r="C752" s="89" t="str">
        <f>"S" &amp; WEEKNUM(Table14[[#This Row],[Date]])</f>
        <v>S4</v>
      </c>
    </row>
    <row r="753" spans="1:3" x14ac:dyDescent="0.35">
      <c r="A753" s="12">
        <v>46043</v>
      </c>
      <c r="B753" s="89">
        <f>MONTH(Table14[[#This Row],[Date]])</f>
        <v>1</v>
      </c>
      <c r="C753" s="89" t="str">
        <f>"S" &amp; WEEKNUM(Table14[[#This Row],[Date]])</f>
        <v>S4</v>
      </c>
    </row>
    <row r="754" spans="1:3" x14ac:dyDescent="0.35">
      <c r="A754" s="12">
        <v>46044</v>
      </c>
      <c r="B754" s="89">
        <f>MONTH(Table14[[#This Row],[Date]])</f>
        <v>1</v>
      </c>
      <c r="C754" s="89" t="str">
        <f>"S" &amp; WEEKNUM(Table14[[#This Row],[Date]])</f>
        <v>S4</v>
      </c>
    </row>
    <row r="755" spans="1:3" x14ac:dyDescent="0.35">
      <c r="A755" s="12">
        <v>46045</v>
      </c>
      <c r="B755" s="89">
        <f>MONTH(Table14[[#This Row],[Date]])</f>
        <v>1</v>
      </c>
      <c r="C755" s="89" t="str">
        <f>"S" &amp; WEEKNUM(Table14[[#This Row],[Date]])</f>
        <v>S4</v>
      </c>
    </row>
    <row r="756" spans="1:3" x14ac:dyDescent="0.35">
      <c r="A756" s="12">
        <v>46046</v>
      </c>
      <c r="B756" s="89">
        <f>MONTH(Table14[[#This Row],[Date]])</f>
        <v>1</v>
      </c>
      <c r="C756" s="89" t="str">
        <f>"S" &amp; WEEKNUM(Table14[[#This Row],[Date]])</f>
        <v>S4</v>
      </c>
    </row>
    <row r="757" spans="1:3" x14ac:dyDescent="0.35">
      <c r="A757" s="12">
        <v>46047</v>
      </c>
      <c r="B757" s="89">
        <f>MONTH(Table14[[#This Row],[Date]])</f>
        <v>1</v>
      </c>
      <c r="C757" s="89" t="str">
        <f>"S" &amp; WEEKNUM(Table14[[#This Row],[Date]])</f>
        <v>S5</v>
      </c>
    </row>
    <row r="758" spans="1:3" x14ac:dyDescent="0.35">
      <c r="A758" s="12">
        <v>46048</v>
      </c>
      <c r="B758" s="89">
        <f>MONTH(Table14[[#This Row],[Date]])</f>
        <v>1</v>
      </c>
      <c r="C758" s="89" t="str">
        <f>"S" &amp; WEEKNUM(Table14[[#This Row],[Date]])</f>
        <v>S5</v>
      </c>
    </row>
    <row r="759" spans="1:3" x14ac:dyDescent="0.35">
      <c r="A759" s="12">
        <v>46049</v>
      </c>
      <c r="B759" s="89">
        <f>MONTH(Table14[[#This Row],[Date]])</f>
        <v>1</v>
      </c>
      <c r="C759" s="89" t="str">
        <f>"S" &amp; WEEKNUM(Table14[[#This Row],[Date]])</f>
        <v>S5</v>
      </c>
    </row>
    <row r="760" spans="1:3" x14ac:dyDescent="0.35">
      <c r="A760" s="12">
        <v>46050</v>
      </c>
      <c r="B760" s="89">
        <f>MONTH(Table14[[#This Row],[Date]])</f>
        <v>1</v>
      </c>
      <c r="C760" s="89" t="str">
        <f>"S" &amp; WEEKNUM(Table14[[#This Row],[Date]])</f>
        <v>S5</v>
      </c>
    </row>
    <row r="761" spans="1:3" x14ac:dyDescent="0.35">
      <c r="A761" s="12">
        <v>46051</v>
      </c>
      <c r="B761" s="89">
        <f>MONTH(Table14[[#This Row],[Date]])</f>
        <v>1</v>
      </c>
      <c r="C761" s="89" t="str">
        <f>"S" &amp; WEEKNUM(Table14[[#This Row],[Date]])</f>
        <v>S5</v>
      </c>
    </row>
    <row r="762" spans="1:3" x14ac:dyDescent="0.35">
      <c r="A762" s="12">
        <v>46052</v>
      </c>
      <c r="B762" s="89">
        <f>MONTH(Table14[[#This Row],[Date]])</f>
        <v>1</v>
      </c>
      <c r="C762" s="89" t="str">
        <f>"S" &amp; WEEKNUM(Table14[[#This Row],[Date]])</f>
        <v>S5</v>
      </c>
    </row>
    <row r="763" spans="1:3" x14ac:dyDescent="0.35">
      <c r="A763" s="12">
        <v>46053</v>
      </c>
      <c r="B763" s="89">
        <f>MONTH(Table14[[#This Row],[Date]])</f>
        <v>1</v>
      </c>
      <c r="C763" s="89" t="str">
        <f>"S" &amp; WEEKNUM(Table14[[#This Row],[Date]])</f>
        <v>S5</v>
      </c>
    </row>
    <row r="764" spans="1:3" x14ac:dyDescent="0.35">
      <c r="A764" s="12">
        <v>46054</v>
      </c>
      <c r="B764" s="89">
        <f>MONTH(Table14[[#This Row],[Date]])</f>
        <v>2</v>
      </c>
      <c r="C764" s="89" t="str">
        <f>"S" &amp; WEEKNUM(Table14[[#This Row],[Date]])</f>
        <v>S6</v>
      </c>
    </row>
    <row r="765" spans="1:3" x14ac:dyDescent="0.35">
      <c r="A765" s="12">
        <v>46055</v>
      </c>
      <c r="B765" s="89">
        <f>MONTH(Table14[[#This Row],[Date]])</f>
        <v>2</v>
      </c>
      <c r="C765" s="89" t="str">
        <f>"S" &amp; WEEKNUM(Table14[[#This Row],[Date]])</f>
        <v>S6</v>
      </c>
    </row>
    <row r="766" spans="1:3" x14ac:dyDescent="0.35">
      <c r="A766" s="12">
        <v>46056</v>
      </c>
      <c r="B766" s="89">
        <f>MONTH(Table14[[#This Row],[Date]])</f>
        <v>2</v>
      </c>
      <c r="C766" s="89" t="str">
        <f>"S" &amp; WEEKNUM(Table14[[#This Row],[Date]])</f>
        <v>S6</v>
      </c>
    </row>
    <row r="767" spans="1:3" x14ac:dyDescent="0.35">
      <c r="A767" s="12">
        <v>46057</v>
      </c>
      <c r="B767" s="89">
        <f>MONTH(Table14[[#This Row],[Date]])</f>
        <v>2</v>
      </c>
      <c r="C767" s="89" t="str">
        <f>"S" &amp; WEEKNUM(Table14[[#This Row],[Date]])</f>
        <v>S6</v>
      </c>
    </row>
    <row r="768" spans="1:3" x14ac:dyDescent="0.35">
      <c r="A768" s="12">
        <v>46058</v>
      </c>
      <c r="B768" s="89">
        <f>MONTH(Table14[[#This Row],[Date]])</f>
        <v>2</v>
      </c>
      <c r="C768" s="89" t="str">
        <f>"S" &amp; WEEKNUM(Table14[[#This Row],[Date]])</f>
        <v>S6</v>
      </c>
    </row>
    <row r="769" spans="1:3" x14ac:dyDescent="0.35">
      <c r="A769" s="12">
        <v>46059</v>
      </c>
      <c r="B769" s="89">
        <f>MONTH(Table14[[#This Row],[Date]])</f>
        <v>2</v>
      </c>
      <c r="C769" s="89" t="str">
        <f>"S" &amp; WEEKNUM(Table14[[#This Row],[Date]])</f>
        <v>S6</v>
      </c>
    </row>
    <row r="770" spans="1:3" x14ac:dyDescent="0.35">
      <c r="A770" s="12">
        <v>46060</v>
      </c>
      <c r="B770" s="89">
        <f>MONTH(Table14[[#This Row],[Date]])</f>
        <v>2</v>
      </c>
      <c r="C770" s="89" t="str">
        <f>"S" &amp; WEEKNUM(Table14[[#This Row],[Date]])</f>
        <v>S6</v>
      </c>
    </row>
    <row r="771" spans="1:3" x14ac:dyDescent="0.35">
      <c r="A771" s="12">
        <v>46061</v>
      </c>
      <c r="B771" s="89">
        <f>MONTH(Table14[[#This Row],[Date]])</f>
        <v>2</v>
      </c>
      <c r="C771" s="89" t="str">
        <f>"S" &amp; WEEKNUM(Table14[[#This Row],[Date]])</f>
        <v>S7</v>
      </c>
    </row>
    <row r="772" spans="1:3" x14ac:dyDescent="0.35">
      <c r="A772" s="12">
        <v>46062</v>
      </c>
      <c r="B772" s="89">
        <f>MONTH(Table14[[#This Row],[Date]])</f>
        <v>2</v>
      </c>
      <c r="C772" s="89" t="str">
        <f>"S" &amp; WEEKNUM(Table14[[#This Row],[Date]])</f>
        <v>S7</v>
      </c>
    </row>
    <row r="773" spans="1:3" x14ac:dyDescent="0.35">
      <c r="A773" s="12">
        <v>46063</v>
      </c>
      <c r="B773" s="89">
        <f>MONTH(Table14[[#This Row],[Date]])</f>
        <v>2</v>
      </c>
      <c r="C773" s="89" t="str">
        <f>"S" &amp; WEEKNUM(Table14[[#This Row],[Date]])</f>
        <v>S7</v>
      </c>
    </row>
    <row r="774" spans="1:3" x14ac:dyDescent="0.35">
      <c r="A774" s="12">
        <v>46064</v>
      </c>
      <c r="B774" s="89">
        <f>MONTH(Table14[[#This Row],[Date]])</f>
        <v>2</v>
      </c>
      <c r="C774" s="89" t="str">
        <f>"S" &amp; WEEKNUM(Table14[[#This Row],[Date]])</f>
        <v>S7</v>
      </c>
    </row>
    <row r="775" spans="1:3" x14ac:dyDescent="0.35">
      <c r="A775" s="12">
        <v>46065</v>
      </c>
      <c r="B775" s="89">
        <f>MONTH(Table14[[#This Row],[Date]])</f>
        <v>2</v>
      </c>
      <c r="C775" s="89" t="str">
        <f>"S" &amp; WEEKNUM(Table14[[#This Row],[Date]])</f>
        <v>S7</v>
      </c>
    </row>
    <row r="776" spans="1:3" x14ac:dyDescent="0.35">
      <c r="A776" s="12">
        <v>46066</v>
      </c>
      <c r="B776" s="89">
        <f>MONTH(Table14[[#This Row],[Date]])</f>
        <v>2</v>
      </c>
      <c r="C776" s="89" t="str">
        <f>"S" &amp; WEEKNUM(Table14[[#This Row],[Date]])</f>
        <v>S7</v>
      </c>
    </row>
    <row r="777" spans="1:3" x14ac:dyDescent="0.35">
      <c r="A777" s="12">
        <v>46067</v>
      </c>
      <c r="B777" s="89">
        <f>MONTH(Table14[[#This Row],[Date]])</f>
        <v>2</v>
      </c>
      <c r="C777" s="89" t="str">
        <f>"S" &amp; WEEKNUM(Table14[[#This Row],[Date]])</f>
        <v>S7</v>
      </c>
    </row>
    <row r="778" spans="1:3" x14ac:dyDescent="0.35">
      <c r="A778" s="12">
        <v>46068</v>
      </c>
      <c r="B778" s="89">
        <f>MONTH(Table14[[#This Row],[Date]])</f>
        <v>2</v>
      </c>
      <c r="C778" s="89" t="str">
        <f>"S" &amp; WEEKNUM(Table14[[#This Row],[Date]])</f>
        <v>S8</v>
      </c>
    </row>
    <row r="779" spans="1:3" x14ac:dyDescent="0.35">
      <c r="A779" s="12">
        <v>46069</v>
      </c>
      <c r="B779" s="89">
        <f>MONTH(Table14[[#This Row],[Date]])</f>
        <v>2</v>
      </c>
      <c r="C779" s="89" t="str">
        <f>"S" &amp; WEEKNUM(Table14[[#This Row],[Date]])</f>
        <v>S8</v>
      </c>
    </row>
    <row r="780" spans="1:3" x14ac:dyDescent="0.35">
      <c r="A780" s="12">
        <v>46070</v>
      </c>
      <c r="B780" s="89">
        <f>MONTH(Table14[[#This Row],[Date]])</f>
        <v>2</v>
      </c>
      <c r="C780" s="89" t="str">
        <f>"S" &amp; WEEKNUM(Table14[[#This Row],[Date]])</f>
        <v>S8</v>
      </c>
    </row>
    <row r="781" spans="1:3" x14ac:dyDescent="0.35">
      <c r="A781" s="12">
        <v>46071</v>
      </c>
      <c r="B781" s="89">
        <f>MONTH(Table14[[#This Row],[Date]])</f>
        <v>2</v>
      </c>
      <c r="C781" s="89" t="str">
        <f>"S" &amp; WEEKNUM(Table14[[#This Row],[Date]])</f>
        <v>S8</v>
      </c>
    </row>
    <row r="782" spans="1:3" x14ac:dyDescent="0.35">
      <c r="A782" s="12">
        <v>46072</v>
      </c>
      <c r="B782" s="89">
        <f>MONTH(Table14[[#This Row],[Date]])</f>
        <v>2</v>
      </c>
      <c r="C782" s="89" t="str">
        <f>"S" &amp; WEEKNUM(Table14[[#This Row],[Date]])</f>
        <v>S8</v>
      </c>
    </row>
    <row r="783" spans="1:3" x14ac:dyDescent="0.35">
      <c r="A783" s="12">
        <v>46073</v>
      </c>
      <c r="B783" s="89">
        <f>MONTH(Table14[[#This Row],[Date]])</f>
        <v>2</v>
      </c>
      <c r="C783" s="89" t="str">
        <f>"S" &amp; WEEKNUM(Table14[[#This Row],[Date]])</f>
        <v>S8</v>
      </c>
    </row>
    <row r="784" spans="1:3" x14ac:dyDescent="0.35">
      <c r="A784" s="12">
        <v>46074</v>
      </c>
      <c r="B784" s="89">
        <f>MONTH(Table14[[#This Row],[Date]])</f>
        <v>2</v>
      </c>
      <c r="C784" s="89" t="str">
        <f>"S" &amp; WEEKNUM(Table14[[#This Row],[Date]])</f>
        <v>S8</v>
      </c>
    </row>
    <row r="785" spans="1:3" x14ac:dyDescent="0.35">
      <c r="A785" s="12">
        <v>46075</v>
      </c>
      <c r="B785" s="89">
        <f>MONTH(Table14[[#This Row],[Date]])</f>
        <v>2</v>
      </c>
      <c r="C785" s="89" t="str">
        <f>"S" &amp; WEEKNUM(Table14[[#This Row],[Date]])</f>
        <v>S9</v>
      </c>
    </row>
    <row r="786" spans="1:3" x14ac:dyDescent="0.35">
      <c r="A786" s="12">
        <v>46076</v>
      </c>
      <c r="B786" s="89">
        <f>MONTH(Table14[[#This Row],[Date]])</f>
        <v>2</v>
      </c>
      <c r="C786" s="89" t="str">
        <f>"S" &amp; WEEKNUM(Table14[[#This Row],[Date]])</f>
        <v>S9</v>
      </c>
    </row>
    <row r="787" spans="1:3" x14ac:dyDescent="0.35">
      <c r="A787" s="12">
        <v>46077</v>
      </c>
      <c r="B787" s="89">
        <f>MONTH(Table14[[#This Row],[Date]])</f>
        <v>2</v>
      </c>
      <c r="C787" s="89" t="str">
        <f>"S" &amp; WEEKNUM(Table14[[#This Row],[Date]])</f>
        <v>S9</v>
      </c>
    </row>
    <row r="788" spans="1:3" x14ac:dyDescent="0.35">
      <c r="A788" s="12">
        <v>46078</v>
      </c>
      <c r="B788" s="89">
        <f>MONTH(Table14[[#This Row],[Date]])</f>
        <v>2</v>
      </c>
      <c r="C788" s="89" t="str">
        <f>"S" &amp; WEEKNUM(Table14[[#This Row],[Date]])</f>
        <v>S9</v>
      </c>
    </row>
    <row r="789" spans="1:3" x14ac:dyDescent="0.35">
      <c r="A789" s="12">
        <v>46079</v>
      </c>
      <c r="B789" s="89">
        <f>MONTH(Table14[[#This Row],[Date]])</f>
        <v>2</v>
      </c>
      <c r="C789" s="89" t="str">
        <f>"S" &amp; WEEKNUM(Table14[[#This Row],[Date]])</f>
        <v>S9</v>
      </c>
    </row>
    <row r="790" spans="1:3" x14ac:dyDescent="0.35">
      <c r="A790" s="12">
        <v>46080</v>
      </c>
      <c r="B790" s="89">
        <f>MONTH(Table14[[#This Row],[Date]])</f>
        <v>2</v>
      </c>
      <c r="C790" s="89" t="str">
        <f>"S" &amp; WEEKNUM(Table14[[#This Row],[Date]])</f>
        <v>S9</v>
      </c>
    </row>
    <row r="791" spans="1:3" x14ac:dyDescent="0.35">
      <c r="A791" s="12">
        <v>46081</v>
      </c>
      <c r="B791" s="89">
        <f>MONTH(Table14[[#This Row],[Date]])</f>
        <v>2</v>
      </c>
      <c r="C791" s="89" t="str">
        <f>"S" &amp; WEEKNUM(Table14[[#This Row],[Date]])</f>
        <v>S9</v>
      </c>
    </row>
    <row r="792" spans="1:3" x14ac:dyDescent="0.35">
      <c r="A792" s="12">
        <v>46082</v>
      </c>
      <c r="B792" s="89">
        <f>MONTH(Table14[[#This Row],[Date]])</f>
        <v>3</v>
      </c>
      <c r="C792" s="89" t="str">
        <f>"S" &amp; WEEKNUM(Table14[[#This Row],[Date]])</f>
        <v>S10</v>
      </c>
    </row>
    <row r="793" spans="1:3" x14ac:dyDescent="0.35">
      <c r="A793" s="12">
        <v>46083</v>
      </c>
      <c r="B793" s="89">
        <f>MONTH(Table14[[#This Row],[Date]])</f>
        <v>3</v>
      </c>
      <c r="C793" s="89" t="str">
        <f>"S" &amp; WEEKNUM(Table14[[#This Row],[Date]])</f>
        <v>S10</v>
      </c>
    </row>
    <row r="794" spans="1:3" x14ac:dyDescent="0.35">
      <c r="A794" s="12">
        <v>46084</v>
      </c>
      <c r="B794" s="89">
        <f>MONTH(Table14[[#This Row],[Date]])</f>
        <v>3</v>
      </c>
      <c r="C794" s="89" t="str">
        <f>"S" &amp; WEEKNUM(Table14[[#This Row],[Date]])</f>
        <v>S10</v>
      </c>
    </row>
    <row r="795" spans="1:3" x14ac:dyDescent="0.35">
      <c r="A795" s="12">
        <v>46085</v>
      </c>
      <c r="B795" s="89">
        <f>MONTH(Table14[[#This Row],[Date]])</f>
        <v>3</v>
      </c>
      <c r="C795" s="89" t="str">
        <f>"S" &amp; WEEKNUM(Table14[[#This Row],[Date]])</f>
        <v>S10</v>
      </c>
    </row>
    <row r="796" spans="1:3" x14ac:dyDescent="0.35">
      <c r="A796" s="12">
        <v>46086</v>
      </c>
      <c r="B796" s="89">
        <f>MONTH(Table14[[#This Row],[Date]])</f>
        <v>3</v>
      </c>
      <c r="C796" s="89" t="str">
        <f>"S" &amp; WEEKNUM(Table14[[#This Row],[Date]])</f>
        <v>S10</v>
      </c>
    </row>
    <row r="797" spans="1:3" x14ac:dyDescent="0.35">
      <c r="A797" s="12">
        <v>46087</v>
      </c>
      <c r="B797" s="89">
        <f>MONTH(Table14[[#This Row],[Date]])</f>
        <v>3</v>
      </c>
      <c r="C797" s="89" t="str">
        <f>"S" &amp; WEEKNUM(Table14[[#This Row],[Date]])</f>
        <v>S10</v>
      </c>
    </row>
    <row r="798" spans="1:3" x14ac:dyDescent="0.35">
      <c r="A798" s="12">
        <v>46088</v>
      </c>
      <c r="B798" s="89">
        <f>MONTH(Table14[[#This Row],[Date]])</f>
        <v>3</v>
      </c>
      <c r="C798" s="89" t="str">
        <f>"S" &amp; WEEKNUM(Table14[[#This Row],[Date]])</f>
        <v>S10</v>
      </c>
    </row>
    <row r="799" spans="1:3" x14ac:dyDescent="0.35">
      <c r="A799" s="12">
        <v>46089</v>
      </c>
      <c r="B799" s="89">
        <f>MONTH(Table14[[#This Row],[Date]])</f>
        <v>3</v>
      </c>
      <c r="C799" s="89" t="str">
        <f>"S" &amp; WEEKNUM(Table14[[#This Row],[Date]])</f>
        <v>S11</v>
      </c>
    </row>
    <row r="800" spans="1:3" x14ac:dyDescent="0.35">
      <c r="A800" s="12">
        <v>46090</v>
      </c>
      <c r="B800" s="89">
        <f>MONTH(Table14[[#This Row],[Date]])</f>
        <v>3</v>
      </c>
      <c r="C800" s="89" t="str">
        <f>"S" &amp; WEEKNUM(Table14[[#This Row],[Date]])</f>
        <v>S11</v>
      </c>
    </row>
    <row r="801" spans="1:3" x14ac:dyDescent="0.35">
      <c r="A801" s="12">
        <v>46091</v>
      </c>
      <c r="B801" s="89">
        <f>MONTH(Table14[[#This Row],[Date]])</f>
        <v>3</v>
      </c>
      <c r="C801" s="89" t="str">
        <f>"S" &amp; WEEKNUM(Table14[[#This Row],[Date]])</f>
        <v>S11</v>
      </c>
    </row>
    <row r="802" spans="1:3" x14ac:dyDescent="0.35">
      <c r="A802" s="12">
        <v>46092</v>
      </c>
      <c r="B802" s="89">
        <f>MONTH(Table14[[#This Row],[Date]])</f>
        <v>3</v>
      </c>
      <c r="C802" s="89" t="str">
        <f>"S" &amp; WEEKNUM(Table14[[#This Row],[Date]])</f>
        <v>S11</v>
      </c>
    </row>
    <row r="803" spans="1:3" x14ac:dyDescent="0.35">
      <c r="A803" s="12">
        <v>46093</v>
      </c>
      <c r="B803" s="89">
        <f>MONTH(Table14[[#This Row],[Date]])</f>
        <v>3</v>
      </c>
      <c r="C803" s="89" t="str">
        <f>"S" &amp; WEEKNUM(Table14[[#This Row],[Date]])</f>
        <v>S11</v>
      </c>
    </row>
    <row r="804" spans="1:3" x14ac:dyDescent="0.35">
      <c r="A804" s="12">
        <v>46094</v>
      </c>
      <c r="B804" s="89">
        <f>MONTH(Table14[[#This Row],[Date]])</f>
        <v>3</v>
      </c>
      <c r="C804" s="89" t="str">
        <f>"S" &amp; WEEKNUM(Table14[[#This Row],[Date]])</f>
        <v>S11</v>
      </c>
    </row>
    <row r="805" spans="1:3" x14ac:dyDescent="0.35">
      <c r="A805" s="12">
        <v>46095</v>
      </c>
      <c r="B805" s="89">
        <f>MONTH(Table14[[#This Row],[Date]])</f>
        <v>3</v>
      </c>
      <c r="C805" s="89" t="str">
        <f>"S" &amp; WEEKNUM(Table14[[#This Row],[Date]])</f>
        <v>S11</v>
      </c>
    </row>
    <row r="806" spans="1:3" x14ac:dyDescent="0.35">
      <c r="A806" s="12">
        <v>46096</v>
      </c>
      <c r="B806" s="89">
        <f>MONTH(Table14[[#This Row],[Date]])</f>
        <v>3</v>
      </c>
      <c r="C806" s="89" t="str">
        <f>"S" &amp; WEEKNUM(Table14[[#This Row],[Date]])</f>
        <v>S12</v>
      </c>
    </row>
    <row r="807" spans="1:3" x14ac:dyDescent="0.35">
      <c r="A807" s="12">
        <v>46097</v>
      </c>
      <c r="B807" s="89">
        <f>MONTH(Table14[[#This Row],[Date]])</f>
        <v>3</v>
      </c>
      <c r="C807" s="89" t="str">
        <f>"S" &amp; WEEKNUM(Table14[[#This Row],[Date]])</f>
        <v>S12</v>
      </c>
    </row>
    <row r="808" spans="1:3" x14ac:dyDescent="0.35">
      <c r="A808" s="12">
        <v>46098</v>
      </c>
      <c r="B808" s="89">
        <f>MONTH(Table14[[#This Row],[Date]])</f>
        <v>3</v>
      </c>
      <c r="C808" s="89" t="str">
        <f>"S" &amp; WEEKNUM(Table14[[#This Row],[Date]])</f>
        <v>S12</v>
      </c>
    </row>
    <row r="809" spans="1:3" x14ac:dyDescent="0.35">
      <c r="A809" s="12">
        <v>46099</v>
      </c>
      <c r="B809" s="89">
        <f>MONTH(Table14[[#This Row],[Date]])</f>
        <v>3</v>
      </c>
      <c r="C809" s="89" t="str">
        <f>"S" &amp; WEEKNUM(Table14[[#This Row],[Date]])</f>
        <v>S12</v>
      </c>
    </row>
    <row r="810" spans="1:3" x14ac:dyDescent="0.35">
      <c r="A810" s="12">
        <v>46100</v>
      </c>
      <c r="B810" s="89">
        <f>MONTH(Table14[[#This Row],[Date]])</f>
        <v>3</v>
      </c>
      <c r="C810" s="89" t="str">
        <f>"S" &amp; WEEKNUM(Table14[[#This Row],[Date]])</f>
        <v>S12</v>
      </c>
    </row>
    <row r="811" spans="1:3" x14ac:dyDescent="0.35">
      <c r="A811" s="12">
        <v>46101</v>
      </c>
      <c r="B811" s="89">
        <f>MONTH(Table14[[#This Row],[Date]])</f>
        <v>3</v>
      </c>
      <c r="C811" s="89" t="str">
        <f>"S" &amp; WEEKNUM(Table14[[#This Row],[Date]])</f>
        <v>S12</v>
      </c>
    </row>
    <row r="812" spans="1:3" x14ac:dyDescent="0.35">
      <c r="A812" s="12">
        <v>46102</v>
      </c>
      <c r="B812" s="89">
        <f>MONTH(Table14[[#This Row],[Date]])</f>
        <v>3</v>
      </c>
      <c r="C812" s="89" t="str">
        <f>"S" &amp; WEEKNUM(Table14[[#This Row],[Date]])</f>
        <v>S12</v>
      </c>
    </row>
    <row r="813" spans="1:3" x14ac:dyDescent="0.35">
      <c r="A813" s="12">
        <v>46103</v>
      </c>
      <c r="B813" s="89">
        <f>MONTH(Table14[[#This Row],[Date]])</f>
        <v>3</v>
      </c>
      <c r="C813" s="89" t="str">
        <f>"S" &amp; WEEKNUM(Table14[[#This Row],[Date]])</f>
        <v>S13</v>
      </c>
    </row>
    <row r="814" spans="1:3" x14ac:dyDescent="0.35">
      <c r="A814" s="12">
        <v>46104</v>
      </c>
      <c r="B814" s="89">
        <f>MONTH(Table14[[#This Row],[Date]])</f>
        <v>3</v>
      </c>
      <c r="C814" s="89" t="str">
        <f>"S" &amp; WEEKNUM(Table14[[#This Row],[Date]])</f>
        <v>S13</v>
      </c>
    </row>
    <row r="815" spans="1:3" x14ac:dyDescent="0.35">
      <c r="A815" s="12">
        <v>46105</v>
      </c>
      <c r="B815" s="89">
        <f>MONTH(Table14[[#This Row],[Date]])</f>
        <v>3</v>
      </c>
      <c r="C815" s="89" t="str">
        <f>"S" &amp; WEEKNUM(Table14[[#This Row],[Date]])</f>
        <v>S13</v>
      </c>
    </row>
    <row r="816" spans="1:3" x14ac:dyDescent="0.35">
      <c r="A816" s="12">
        <v>46106</v>
      </c>
      <c r="B816" s="89">
        <f>MONTH(Table14[[#This Row],[Date]])</f>
        <v>3</v>
      </c>
      <c r="C816" s="89" t="str">
        <f>"S" &amp; WEEKNUM(Table14[[#This Row],[Date]])</f>
        <v>S13</v>
      </c>
    </row>
    <row r="817" spans="1:3" x14ac:dyDescent="0.35">
      <c r="A817" s="12">
        <v>46107</v>
      </c>
      <c r="B817" s="89">
        <f>MONTH(Table14[[#This Row],[Date]])</f>
        <v>3</v>
      </c>
      <c r="C817" s="89" t="str">
        <f>"S" &amp; WEEKNUM(Table14[[#This Row],[Date]])</f>
        <v>S13</v>
      </c>
    </row>
    <row r="818" spans="1:3" x14ac:dyDescent="0.35">
      <c r="A818" s="12">
        <v>46108</v>
      </c>
      <c r="B818" s="89">
        <f>MONTH(Table14[[#This Row],[Date]])</f>
        <v>3</v>
      </c>
      <c r="C818" s="89" t="str">
        <f>"S" &amp; WEEKNUM(Table14[[#This Row],[Date]])</f>
        <v>S13</v>
      </c>
    </row>
    <row r="819" spans="1:3" x14ac:dyDescent="0.35">
      <c r="A819" s="12">
        <v>46109</v>
      </c>
      <c r="B819" s="89">
        <f>MONTH(Table14[[#This Row],[Date]])</f>
        <v>3</v>
      </c>
      <c r="C819" s="89" t="str">
        <f>"S" &amp; WEEKNUM(Table14[[#This Row],[Date]])</f>
        <v>S13</v>
      </c>
    </row>
    <row r="820" spans="1:3" x14ac:dyDescent="0.35">
      <c r="A820" s="12">
        <v>46110</v>
      </c>
      <c r="B820" s="89">
        <f>MONTH(Table14[[#This Row],[Date]])</f>
        <v>3</v>
      </c>
      <c r="C820" s="89" t="str">
        <f>"S" &amp; WEEKNUM(Table14[[#This Row],[Date]])</f>
        <v>S14</v>
      </c>
    </row>
    <row r="821" spans="1:3" x14ac:dyDescent="0.35">
      <c r="A821" s="12">
        <v>46111</v>
      </c>
      <c r="B821" s="89">
        <f>MONTH(Table14[[#This Row],[Date]])</f>
        <v>3</v>
      </c>
      <c r="C821" s="89" t="str">
        <f>"S" &amp; WEEKNUM(Table14[[#This Row],[Date]])</f>
        <v>S14</v>
      </c>
    </row>
    <row r="822" spans="1:3" x14ac:dyDescent="0.35">
      <c r="A822" s="12">
        <v>46112</v>
      </c>
      <c r="B822" s="89">
        <f>MONTH(Table14[[#This Row],[Date]])</f>
        <v>3</v>
      </c>
      <c r="C822" s="89" t="str">
        <f>"S" &amp; WEEKNUM(Table14[[#This Row],[Date]])</f>
        <v>S14</v>
      </c>
    </row>
    <row r="823" spans="1:3" x14ac:dyDescent="0.35">
      <c r="A823" s="12">
        <v>46113</v>
      </c>
      <c r="B823" s="89">
        <f>MONTH(Table14[[#This Row],[Date]])</f>
        <v>4</v>
      </c>
      <c r="C823" s="89" t="str">
        <f>"S" &amp; WEEKNUM(Table14[[#This Row],[Date]])</f>
        <v>S14</v>
      </c>
    </row>
    <row r="824" spans="1:3" x14ac:dyDescent="0.35">
      <c r="A824" s="12">
        <v>46114</v>
      </c>
      <c r="B824" s="89">
        <f>MONTH(Table14[[#This Row],[Date]])</f>
        <v>4</v>
      </c>
      <c r="C824" s="89" t="str">
        <f>"S" &amp; WEEKNUM(Table14[[#This Row],[Date]])</f>
        <v>S14</v>
      </c>
    </row>
    <row r="825" spans="1:3" x14ac:dyDescent="0.35">
      <c r="A825" s="12">
        <v>46115</v>
      </c>
      <c r="B825" s="89">
        <f>MONTH(Table14[[#This Row],[Date]])</f>
        <v>4</v>
      </c>
      <c r="C825" s="89" t="str">
        <f>"S" &amp; WEEKNUM(Table14[[#This Row],[Date]])</f>
        <v>S14</v>
      </c>
    </row>
    <row r="826" spans="1:3" x14ac:dyDescent="0.35">
      <c r="A826" s="12">
        <v>46116</v>
      </c>
      <c r="B826" s="89">
        <f>MONTH(Table14[[#This Row],[Date]])</f>
        <v>4</v>
      </c>
      <c r="C826" s="89" t="str">
        <f>"S" &amp; WEEKNUM(Table14[[#This Row],[Date]])</f>
        <v>S14</v>
      </c>
    </row>
    <row r="827" spans="1:3" x14ac:dyDescent="0.35">
      <c r="A827" s="12">
        <v>46117</v>
      </c>
      <c r="B827" s="89">
        <f>MONTH(Table14[[#This Row],[Date]])</f>
        <v>4</v>
      </c>
      <c r="C827" s="89" t="str">
        <f>"S" &amp; WEEKNUM(Table14[[#This Row],[Date]])</f>
        <v>S15</v>
      </c>
    </row>
    <row r="828" spans="1:3" x14ac:dyDescent="0.35">
      <c r="A828" s="12">
        <v>46118</v>
      </c>
      <c r="B828" s="89">
        <f>MONTH(Table14[[#This Row],[Date]])</f>
        <v>4</v>
      </c>
      <c r="C828" s="89" t="str">
        <f>"S" &amp; WEEKNUM(Table14[[#This Row],[Date]])</f>
        <v>S15</v>
      </c>
    </row>
    <row r="829" spans="1:3" x14ac:dyDescent="0.35">
      <c r="A829" s="12">
        <v>46119</v>
      </c>
      <c r="B829" s="89">
        <f>MONTH(Table14[[#This Row],[Date]])</f>
        <v>4</v>
      </c>
      <c r="C829" s="89" t="str">
        <f>"S" &amp; WEEKNUM(Table14[[#This Row],[Date]])</f>
        <v>S15</v>
      </c>
    </row>
    <row r="830" spans="1:3" x14ac:dyDescent="0.35">
      <c r="A830" s="12">
        <v>46120</v>
      </c>
      <c r="B830" s="89">
        <f>MONTH(Table14[[#This Row],[Date]])</f>
        <v>4</v>
      </c>
      <c r="C830" s="89" t="str">
        <f>"S" &amp; WEEKNUM(Table14[[#This Row],[Date]])</f>
        <v>S15</v>
      </c>
    </row>
    <row r="831" spans="1:3" x14ac:dyDescent="0.35">
      <c r="A831" s="12">
        <v>46121</v>
      </c>
      <c r="B831" s="89">
        <f>MONTH(Table14[[#This Row],[Date]])</f>
        <v>4</v>
      </c>
      <c r="C831" s="89" t="str">
        <f>"S" &amp; WEEKNUM(Table14[[#This Row],[Date]])</f>
        <v>S15</v>
      </c>
    </row>
    <row r="832" spans="1:3" x14ac:dyDescent="0.35">
      <c r="A832" s="12">
        <v>46122</v>
      </c>
      <c r="B832" s="89">
        <f>MONTH(Table14[[#This Row],[Date]])</f>
        <v>4</v>
      </c>
      <c r="C832" s="89" t="str">
        <f>"S" &amp; WEEKNUM(Table14[[#This Row],[Date]])</f>
        <v>S15</v>
      </c>
    </row>
    <row r="833" spans="1:3" x14ac:dyDescent="0.35">
      <c r="A833" s="12">
        <v>46123</v>
      </c>
      <c r="B833" s="89">
        <f>MONTH(Table14[[#This Row],[Date]])</f>
        <v>4</v>
      </c>
      <c r="C833" s="89" t="str">
        <f>"S" &amp; WEEKNUM(Table14[[#This Row],[Date]])</f>
        <v>S15</v>
      </c>
    </row>
    <row r="834" spans="1:3" x14ac:dyDescent="0.35">
      <c r="A834" s="12">
        <v>46124</v>
      </c>
      <c r="B834" s="89">
        <f>MONTH(Table14[[#This Row],[Date]])</f>
        <v>4</v>
      </c>
      <c r="C834" s="89" t="str">
        <f>"S" &amp; WEEKNUM(Table14[[#This Row],[Date]])</f>
        <v>S16</v>
      </c>
    </row>
    <row r="835" spans="1:3" x14ac:dyDescent="0.35">
      <c r="A835" s="12">
        <v>46125</v>
      </c>
      <c r="B835" s="89">
        <f>MONTH(Table14[[#This Row],[Date]])</f>
        <v>4</v>
      </c>
      <c r="C835" s="89" t="str">
        <f>"S" &amp; WEEKNUM(Table14[[#This Row],[Date]])</f>
        <v>S16</v>
      </c>
    </row>
    <row r="836" spans="1:3" x14ac:dyDescent="0.35">
      <c r="A836" s="12">
        <v>46126</v>
      </c>
      <c r="B836" s="89">
        <f>MONTH(Table14[[#This Row],[Date]])</f>
        <v>4</v>
      </c>
      <c r="C836" s="89" t="str">
        <f>"S" &amp; WEEKNUM(Table14[[#This Row],[Date]])</f>
        <v>S16</v>
      </c>
    </row>
    <row r="837" spans="1:3" x14ac:dyDescent="0.35">
      <c r="A837" s="12">
        <v>46127</v>
      </c>
      <c r="B837" s="89">
        <f>MONTH(Table14[[#This Row],[Date]])</f>
        <v>4</v>
      </c>
      <c r="C837" s="89" t="str">
        <f>"S" &amp; WEEKNUM(Table14[[#This Row],[Date]])</f>
        <v>S16</v>
      </c>
    </row>
    <row r="838" spans="1:3" x14ac:dyDescent="0.35">
      <c r="A838" s="12">
        <v>46128</v>
      </c>
      <c r="B838" s="89">
        <f>MONTH(Table14[[#This Row],[Date]])</f>
        <v>4</v>
      </c>
      <c r="C838" s="89" t="str">
        <f>"S" &amp; WEEKNUM(Table14[[#This Row],[Date]])</f>
        <v>S16</v>
      </c>
    </row>
    <row r="839" spans="1:3" x14ac:dyDescent="0.35">
      <c r="A839" s="12">
        <v>46129</v>
      </c>
      <c r="B839" s="89">
        <f>MONTH(Table14[[#This Row],[Date]])</f>
        <v>4</v>
      </c>
      <c r="C839" s="89" t="str">
        <f>"S" &amp; WEEKNUM(Table14[[#This Row],[Date]])</f>
        <v>S16</v>
      </c>
    </row>
    <row r="840" spans="1:3" x14ac:dyDescent="0.35">
      <c r="A840" s="12">
        <v>46130</v>
      </c>
      <c r="B840" s="89">
        <f>MONTH(Table14[[#This Row],[Date]])</f>
        <v>4</v>
      </c>
      <c r="C840" s="89" t="str">
        <f>"S" &amp; WEEKNUM(Table14[[#This Row],[Date]])</f>
        <v>S16</v>
      </c>
    </row>
    <row r="841" spans="1:3" x14ac:dyDescent="0.35">
      <c r="A841" s="12">
        <v>46131</v>
      </c>
      <c r="B841" s="89">
        <f>MONTH(Table14[[#This Row],[Date]])</f>
        <v>4</v>
      </c>
      <c r="C841" s="89" t="str">
        <f>"S" &amp; WEEKNUM(Table14[[#This Row],[Date]])</f>
        <v>S17</v>
      </c>
    </row>
    <row r="842" spans="1:3" x14ac:dyDescent="0.35">
      <c r="A842" s="12">
        <v>46132</v>
      </c>
      <c r="B842" s="89">
        <f>MONTH(Table14[[#This Row],[Date]])</f>
        <v>4</v>
      </c>
      <c r="C842" s="89" t="str">
        <f>"S" &amp; WEEKNUM(Table14[[#This Row],[Date]])</f>
        <v>S17</v>
      </c>
    </row>
    <row r="843" spans="1:3" x14ac:dyDescent="0.35">
      <c r="A843" s="12">
        <v>46133</v>
      </c>
      <c r="B843" s="89">
        <f>MONTH(Table14[[#This Row],[Date]])</f>
        <v>4</v>
      </c>
      <c r="C843" s="89" t="str">
        <f>"S" &amp; WEEKNUM(Table14[[#This Row],[Date]])</f>
        <v>S17</v>
      </c>
    </row>
    <row r="844" spans="1:3" x14ac:dyDescent="0.35">
      <c r="A844" s="12">
        <v>46134</v>
      </c>
      <c r="B844" s="89">
        <f>MONTH(Table14[[#This Row],[Date]])</f>
        <v>4</v>
      </c>
      <c r="C844" s="89" t="str">
        <f>"S" &amp; WEEKNUM(Table14[[#This Row],[Date]])</f>
        <v>S17</v>
      </c>
    </row>
    <row r="845" spans="1:3" x14ac:dyDescent="0.35">
      <c r="A845" s="12">
        <v>46135</v>
      </c>
      <c r="B845" s="89">
        <f>MONTH(Table14[[#This Row],[Date]])</f>
        <v>4</v>
      </c>
      <c r="C845" s="89" t="str">
        <f>"S" &amp; WEEKNUM(Table14[[#This Row],[Date]])</f>
        <v>S17</v>
      </c>
    </row>
    <row r="846" spans="1:3" x14ac:dyDescent="0.35">
      <c r="A846" s="12">
        <v>46136</v>
      </c>
      <c r="B846" s="89">
        <f>MONTH(Table14[[#This Row],[Date]])</f>
        <v>4</v>
      </c>
      <c r="C846" s="89" t="str">
        <f>"S" &amp; WEEKNUM(Table14[[#This Row],[Date]])</f>
        <v>S17</v>
      </c>
    </row>
    <row r="847" spans="1:3" x14ac:dyDescent="0.35">
      <c r="A847" s="12">
        <v>46137</v>
      </c>
      <c r="B847" s="89">
        <f>MONTH(Table14[[#This Row],[Date]])</f>
        <v>4</v>
      </c>
      <c r="C847" s="89" t="str">
        <f>"S" &amp; WEEKNUM(Table14[[#This Row],[Date]])</f>
        <v>S17</v>
      </c>
    </row>
    <row r="848" spans="1:3" x14ac:dyDescent="0.35">
      <c r="A848" s="12">
        <v>46138</v>
      </c>
      <c r="B848" s="89">
        <f>MONTH(Table14[[#This Row],[Date]])</f>
        <v>4</v>
      </c>
      <c r="C848" s="89" t="str">
        <f>"S" &amp; WEEKNUM(Table14[[#This Row],[Date]])</f>
        <v>S18</v>
      </c>
    </row>
    <row r="849" spans="1:3" x14ac:dyDescent="0.35">
      <c r="A849" s="12">
        <v>46139</v>
      </c>
      <c r="B849" s="89">
        <f>MONTH(Table14[[#This Row],[Date]])</f>
        <v>4</v>
      </c>
      <c r="C849" s="89" t="str">
        <f>"S" &amp; WEEKNUM(Table14[[#This Row],[Date]])</f>
        <v>S18</v>
      </c>
    </row>
    <row r="850" spans="1:3" x14ac:dyDescent="0.35">
      <c r="A850" s="12">
        <v>46140</v>
      </c>
      <c r="B850" s="89">
        <f>MONTH(Table14[[#This Row],[Date]])</f>
        <v>4</v>
      </c>
      <c r="C850" s="89" t="str">
        <f>"S" &amp; WEEKNUM(Table14[[#This Row],[Date]])</f>
        <v>S18</v>
      </c>
    </row>
    <row r="851" spans="1:3" x14ac:dyDescent="0.35">
      <c r="A851" s="12">
        <v>46141</v>
      </c>
      <c r="B851" s="89">
        <f>MONTH(Table14[[#This Row],[Date]])</f>
        <v>4</v>
      </c>
      <c r="C851" s="89" t="str">
        <f>"S" &amp; WEEKNUM(Table14[[#This Row],[Date]])</f>
        <v>S18</v>
      </c>
    </row>
    <row r="852" spans="1:3" x14ac:dyDescent="0.35">
      <c r="A852" s="12">
        <v>46142</v>
      </c>
      <c r="B852" s="89">
        <f>MONTH(Table14[[#This Row],[Date]])</f>
        <v>4</v>
      </c>
      <c r="C852" s="89" t="str">
        <f>"S" &amp; WEEKNUM(Table14[[#This Row],[Date]])</f>
        <v>S18</v>
      </c>
    </row>
    <row r="853" spans="1:3" x14ac:dyDescent="0.35">
      <c r="A853" s="12">
        <v>46143</v>
      </c>
      <c r="B853" s="89">
        <f>MONTH(Table14[[#This Row],[Date]])</f>
        <v>5</v>
      </c>
      <c r="C853" s="89" t="str">
        <f>"S" &amp; WEEKNUM(Table14[[#This Row],[Date]])</f>
        <v>S18</v>
      </c>
    </row>
    <row r="854" spans="1:3" x14ac:dyDescent="0.35">
      <c r="A854" s="12">
        <v>46144</v>
      </c>
      <c r="B854" s="89">
        <f>MONTH(Table14[[#This Row],[Date]])</f>
        <v>5</v>
      </c>
      <c r="C854" s="89" t="str">
        <f>"S" &amp; WEEKNUM(Table14[[#This Row],[Date]])</f>
        <v>S18</v>
      </c>
    </row>
    <row r="855" spans="1:3" x14ac:dyDescent="0.35">
      <c r="A855" s="12">
        <v>46145</v>
      </c>
      <c r="B855" s="89">
        <f>MONTH(Table14[[#This Row],[Date]])</f>
        <v>5</v>
      </c>
      <c r="C855" s="89" t="str">
        <f>"S" &amp; WEEKNUM(Table14[[#This Row],[Date]])</f>
        <v>S19</v>
      </c>
    </row>
    <row r="856" spans="1:3" x14ac:dyDescent="0.35">
      <c r="A856" s="12">
        <v>46146</v>
      </c>
      <c r="B856" s="89">
        <f>MONTH(Table14[[#This Row],[Date]])</f>
        <v>5</v>
      </c>
      <c r="C856" s="89" t="str">
        <f>"S" &amp; WEEKNUM(Table14[[#This Row],[Date]])</f>
        <v>S19</v>
      </c>
    </row>
    <row r="857" spans="1:3" x14ac:dyDescent="0.35">
      <c r="A857" s="12">
        <v>46147</v>
      </c>
      <c r="B857" s="89">
        <f>MONTH(Table14[[#This Row],[Date]])</f>
        <v>5</v>
      </c>
      <c r="C857" s="89" t="str">
        <f>"S" &amp; WEEKNUM(Table14[[#This Row],[Date]])</f>
        <v>S19</v>
      </c>
    </row>
    <row r="858" spans="1:3" x14ac:dyDescent="0.35">
      <c r="A858" s="12">
        <v>46148</v>
      </c>
      <c r="B858" s="89">
        <f>MONTH(Table14[[#This Row],[Date]])</f>
        <v>5</v>
      </c>
      <c r="C858" s="89" t="str">
        <f>"S" &amp; WEEKNUM(Table14[[#This Row],[Date]])</f>
        <v>S19</v>
      </c>
    </row>
    <row r="859" spans="1:3" x14ac:dyDescent="0.35">
      <c r="A859" s="12">
        <v>46149</v>
      </c>
      <c r="B859" s="89">
        <f>MONTH(Table14[[#This Row],[Date]])</f>
        <v>5</v>
      </c>
      <c r="C859" s="89" t="str">
        <f>"S" &amp; WEEKNUM(Table14[[#This Row],[Date]])</f>
        <v>S19</v>
      </c>
    </row>
    <row r="860" spans="1:3" x14ac:dyDescent="0.35">
      <c r="A860" s="12">
        <v>46150</v>
      </c>
      <c r="B860" s="89">
        <f>MONTH(Table14[[#This Row],[Date]])</f>
        <v>5</v>
      </c>
      <c r="C860" s="89" t="str">
        <f>"S" &amp; WEEKNUM(Table14[[#This Row],[Date]])</f>
        <v>S19</v>
      </c>
    </row>
    <row r="861" spans="1:3" x14ac:dyDescent="0.35">
      <c r="A861" s="12">
        <v>46151</v>
      </c>
      <c r="B861" s="89">
        <f>MONTH(Table14[[#This Row],[Date]])</f>
        <v>5</v>
      </c>
      <c r="C861" s="89" t="str">
        <f>"S" &amp; WEEKNUM(Table14[[#This Row],[Date]])</f>
        <v>S19</v>
      </c>
    </row>
    <row r="862" spans="1:3" x14ac:dyDescent="0.35">
      <c r="A862" s="12">
        <v>46152</v>
      </c>
      <c r="B862" s="89">
        <f>MONTH(Table14[[#This Row],[Date]])</f>
        <v>5</v>
      </c>
      <c r="C862" s="89" t="str">
        <f>"S" &amp; WEEKNUM(Table14[[#This Row],[Date]])</f>
        <v>S20</v>
      </c>
    </row>
    <row r="863" spans="1:3" x14ac:dyDescent="0.35">
      <c r="A863" s="12">
        <v>46153</v>
      </c>
      <c r="B863" s="89">
        <f>MONTH(Table14[[#This Row],[Date]])</f>
        <v>5</v>
      </c>
      <c r="C863" s="89" t="str">
        <f>"S" &amp; WEEKNUM(Table14[[#This Row],[Date]])</f>
        <v>S20</v>
      </c>
    </row>
    <row r="864" spans="1:3" x14ac:dyDescent="0.35">
      <c r="A864" s="12">
        <v>46154</v>
      </c>
      <c r="B864" s="89">
        <f>MONTH(Table14[[#This Row],[Date]])</f>
        <v>5</v>
      </c>
      <c r="C864" s="89" t="str">
        <f>"S" &amp; WEEKNUM(Table14[[#This Row],[Date]])</f>
        <v>S20</v>
      </c>
    </row>
    <row r="865" spans="1:3" x14ac:dyDescent="0.35">
      <c r="A865" s="12">
        <v>46155</v>
      </c>
      <c r="B865" s="89">
        <f>MONTH(Table14[[#This Row],[Date]])</f>
        <v>5</v>
      </c>
      <c r="C865" s="89" t="str">
        <f>"S" &amp; WEEKNUM(Table14[[#This Row],[Date]])</f>
        <v>S20</v>
      </c>
    </row>
    <row r="866" spans="1:3" x14ac:dyDescent="0.35">
      <c r="A866" s="12">
        <v>46156</v>
      </c>
      <c r="B866" s="89">
        <f>MONTH(Table14[[#This Row],[Date]])</f>
        <v>5</v>
      </c>
      <c r="C866" s="89" t="str">
        <f>"S" &amp; WEEKNUM(Table14[[#This Row],[Date]])</f>
        <v>S20</v>
      </c>
    </row>
    <row r="867" spans="1:3" x14ac:dyDescent="0.35">
      <c r="A867" s="12">
        <v>46157</v>
      </c>
      <c r="B867" s="89">
        <f>MONTH(Table14[[#This Row],[Date]])</f>
        <v>5</v>
      </c>
      <c r="C867" s="89" t="str">
        <f>"S" &amp; WEEKNUM(Table14[[#This Row],[Date]])</f>
        <v>S20</v>
      </c>
    </row>
    <row r="868" spans="1:3" x14ac:dyDescent="0.35">
      <c r="A868" s="12">
        <v>46158</v>
      </c>
      <c r="B868" s="89">
        <f>MONTH(Table14[[#This Row],[Date]])</f>
        <v>5</v>
      </c>
      <c r="C868" s="89" t="str">
        <f>"S" &amp; WEEKNUM(Table14[[#This Row],[Date]])</f>
        <v>S20</v>
      </c>
    </row>
    <row r="869" spans="1:3" x14ac:dyDescent="0.35">
      <c r="A869" s="12">
        <v>46159</v>
      </c>
      <c r="B869" s="89">
        <f>MONTH(Table14[[#This Row],[Date]])</f>
        <v>5</v>
      </c>
      <c r="C869" s="89" t="str">
        <f>"S" &amp; WEEKNUM(Table14[[#This Row],[Date]])</f>
        <v>S21</v>
      </c>
    </row>
    <row r="870" spans="1:3" x14ac:dyDescent="0.35">
      <c r="A870" s="12">
        <v>46160</v>
      </c>
      <c r="B870" s="89">
        <f>MONTH(Table14[[#This Row],[Date]])</f>
        <v>5</v>
      </c>
      <c r="C870" s="89" t="str">
        <f>"S" &amp; WEEKNUM(Table14[[#This Row],[Date]])</f>
        <v>S21</v>
      </c>
    </row>
    <row r="871" spans="1:3" x14ac:dyDescent="0.35">
      <c r="A871" s="12">
        <v>46161</v>
      </c>
      <c r="B871" s="89">
        <f>MONTH(Table14[[#This Row],[Date]])</f>
        <v>5</v>
      </c>
      <c r="C871" s="89" t="str">
        <f>"S" &amp; WEEKNUM(Table14[[#This Row],[Date]])</f>
        <v>S21</v>
      </c>
    </row>
    <row r="872" spans="1:3" x14ac:dyDescent="0.35">
      <c r="A872" s="12">
        <v>46162</v>
      </c>
      <c r="B872" s="89">
        <f>MONTH(Table14[[#This Row],[Date]])</f>
        <v>5</v>
      </c>
      <c r="C872" s="89" t="str">
        <f>"S" &amp; WEEKNUM(Table14[[#This Row],[Date]])</f>
        <v>S21</v>
      </c>
    </row>
    <row r="873" spans="1:3" x14ac:dyDescent="0.35">
      <c r="A873" s="12">
        <v>46163</v>
      </c>
      <c r="B873" s="89">
        <f>MONTH(Table14[[#This Row],[Date]])</f>
        <v>5</v>
      </c>
      <c r="C873" s="89" t="str">
        <f>"S" &amp; WEEKNUM(Table14[[#This Row],[Date]])</f>
        <v>S21</v>
      </c>
    </row>
    <row r="874" spans="1:3" x14ac:dyDescent="0.35">
      <c r="A874" s="12">
        <v>46164</v>
      </c>
      <c r="B874" s="89">
        <f>MONTH(Table14[[#This Row],[Date]])</f>
        <v>5</v>
      </c>
      <c r="C874" s="89" t="str">
        <f>"S" &amp; WEEKNUM(Table14[[#This Row],[Date]])</f>
        <v>S21</v>
      </c>
    </row>
    <row r="875" spans="1:3" x14ac:dyDescent="0.35">
      <c r="A875" s="12">
        <v>46165</v>
      </c>
      <c r="B875" s="89">
        <f>MONTH(Table14[[#This Row],[Date]])</f>
        <v>5</v>
      </c>
      <c r="C875" s="89" t="str">
        <f>"S" &amp; WEEKNUM(Table14[[#This Row],[Date]])</f>
        <v>S21</v>
      </c>
    </row>
    <row r="876" spans="1:3" x14ac:dyDescent="0.35">
      <c r="A876" s="12">
        <v>46166</v>
      </c>
      <c r="B876" s="89">
        <f>MONTH(Table14[[#This Row],[Date]])</f>
        <v>5</v>
      </c>
      <c r="C876" s="89" t="str">
        <f>"S" &amp; WEEKNUM(Table14[[#This Row],[Date]])</f>
        <v>S22</v>
      </c>
    </row>
    <row r="877" spans="1:3" x14ac:dyDescent="0.35">
      <c r="A877" s="12">
        <v>46167</v>
      </c>
      <c r="B877" s="89">
        <f>MONTH(Table14[[#This Row],[Date]])</f>
        <v>5</v>
      </c>
      <c r="C877" s="89" t="str">
        <f>"S" &amp; WEEKNUM(Table14[[#This Row],[Date]])</f>
        <v>S22</v>
      </c>
    </row>
    <row r="878" spans="1:3" x14ac:dyDescent="0.35">
      <c r="A878" s="12">
        <v>46168</v>
      </c>
      <c r="B878" s="89">
        <f>MONTH(Table14[[#This Row],[Date]])</f>
        <v>5</v>
      </c>
      <c r="C878" s="89" t="str">
        <f>"S" &amp; WEEKNUM(Table14[[#This Row],[Date]])</f>
        <v>S22</v>
      </c>
    </row>
    <row r="879" spans="1:3" x14ac:dyDescent="0.35">
      <c r="A879" s="12">
        <v>46169</v>
      </c>
      <c r="B879" s="89">
        <f>MONTH(Table14[[#This Row],[Date]])</f>
        <v>5</v>
      </c>
      <c r="C879" s="89" t="str">
        <f>"S" &amp; WEEKNUM(Table14[[#This Row],[Date]])</f>
        <v>S22</v>
      </c>
    </row>
    <row r="880" spans="1:3" x14ac:dyDescent="0.35">
      <c r="A880" s="12">
        <v>46170</v>
      </c>
      <c r="B880" s="89">
        <f>MONTH(Table14[[#This Row],[Date]])</f>
        <v>5</v>
      </c>
      <c r="C880" s="89" t="str">
        <f>"S" &amp; WEEKNUM(Table14[[#This Row],[Date]])</f>
        <v>S22</v>
      </c>
    </row>
    <row r="881" spans="1:3" x14ac:dyDescent="0.35">
      <c r="A881" s="12">
        <v>46171</v>
      </c>
      <c r="B881" s="89">
        <f>MONTH(Table14[[#This Row],[Date]])</f>
        <v>5</v>
      </c>
      <c r="C881" s="89" t="str">
        <f>"S" &amp; WEEKNUM(Table14[[#This Row],[Date]])</f>
        <v>S22</v>
      </c>
    </row>
    <row r="882" spans="1:3" x14ac:dyDescent="0.35">
      <c r="A882" s="12">
        <v>46172</v>
      </c>
      <c r="B882" s="89">
        <f>MONTH(Table14[[#This Row],[Date]])</f>
        <v>5</v>
      </c>
      <c r="C882" s="89" t="str">
        <f>"S" &amp; WEEKNUM(Table14[[#This Row],[Date]])</f>
        <v>S22</v>
      </c>
    </row>
    <row r="883" spans="1:3" x14ac:dyDescent="0.35">
      <c r="A883" s="12">
        <v>46173</v>
      </c>
      <c r="B883" s="89">
        <f>MONTH(Table14[[#This Row],[Date]])</f>
        <v>5</v>
      </c>
      <c r="C883" s="89" t="str">
        <f>"S" &amp; WEEKNUM(Table14[[#This Row],[Date]])</f>
        <v>S23</v>
      </c>
    </row>
    <row r="884" spans="1:3" x14ac:dyDescent="0.35">
      <c r="A884" s="12">
        <v>46174</v>
      </c>
      <c r="B884" s="89">
        <f>MONTH(Table14[[#This Row],[Date]])</f>
        <v>6</v>
      </c>
      <c r="C884" s="89" t="str">
        <f>"S" &amp; WEEKNUM(Table14[[#This Row],[Date]])</f>
        <v>S23</v>
      </c>
    </row>
    <row r="885" spans="1:3" x14ac:dyDescent="0.35">
      <c r="A885" s="12">
        <v>46175</v>
      </c>
      <c r="B885" s="89">
        <f>MONTH(Table14[[#This Row],[Date]])</f>
        <v>6</v>
      </c>
      <c r="C885" s="89" t="str">
        <f>"S" &amp; WEEKNUM(Table14[[#This Row],[Date]])</f>
        <v>S23</v>
      </c>
    </row>
    <row r="886" spans="1:3" x14ac:dyDescent="0.35">
      <c r="A886" s="12">
        <v>46176</v>
      </c>
      <c r="B886" s="89">
        <f>MONTH(Table14[[#This Row],[Date]])</f>
        <v>6</v>
      </c>
      <c r="C886" s="89" t="str">
        <f>"S" &amp; WEEKNUM(Table14[[#This Row],[Date]])</f>
        <v>S23</v>
      </c>
    </row>
    <row r="887" spans="1:3" x14ac:dyDescent="0.35">
      <c r="A887" s="12">
        <v>46177</v>
      </c>
      <c r="B887" s="89">
        <f>MONTH(Table14[[#This Row],[Date]])</f>
        <v>6</v>
      </c>
      <c r="C887" s="89" t="str">
        <f>"S" &amp; WEEKNUM(Table14[[#This Row],[Date]])</f>
        <v>S23</v>
      </c>
    </row>
    <row r="888" spans="1:3" x14ac:dyDescent="0.35">
      <c r="A888" s="12">
        <v>46178</v>
      </c>
      <c r="B888" s="89">
        <f>MONTH(Table14[[#This Row],[Date]])</f>
        <v>6</v>
      </c>
      <c r="C888" s="89" t="str">
        <f>"S" &amp; WEEKNUM(Table14[[#This Row],[Date]])</f>
        <v>S23</v>
      </c>
    </row>
    <row r="889" spans="1:3" x14ac:dyDescent="0.35">
      <c r="A889" s="12">
        <v>46179</v>
      </c>
      <c r="B889" s="89">
        <f>MONTH(Table14[[#This Row],[Date]])</f>
        <v>6</v>
      </c>
      <c r="C889" s="89" t="str">
        <f>"S" &amp; WEEKNUM(Table14[[#This Row],[Date]])</f>
        <v>S23</v>
      </c>
    </row>
    <row r="890" spans="1:3" x14ac:dyDescent="0.35">
      <c r="A890" s="12">
        <v>46180</v>
      </c>
      <c r="B890" s="89">
        <f>MONTH(Table14[[#This Row],[Date]])</f>
        <v>6</v>
      </c>
      <c r="C890" s="89" t="str">
        <f>"S" &amp; WEEKNUM(Table14[[#This Row],[Date]])</f>
        <v>S24</v>
      </c>
    </row>
    <row r="891" spans="1:3" x14ac:dyDescent="0.35">
      <c r="A891" s="12">
        <v>46181</v>
      </c>
      <c r="B891" s="89">
        <f>MONTH(Table14[[#This Row],[Date]])</f>
        <v>6</v>
      </c>
      <c r="C891" s="89" t="str">
        <f>"S" &amp; WEEKNUM(Table14[[#This Row],[Date]])</f>
        <v>S24</v>
      </c>
    </row>
    <row r="892" spans="1:3" x14ac:dyDescent="0.35">
      <c r="A892" s="12">
        <v>46182</v>
      </c>
      <c r="B892" s="89">
        <f>MONTH(Table14[[#This Row],[Date]])</f>
        <v>6</v>
      </c>
      <c r="C892" s="89" t="str">
        <f>"S" &amp; WEEKNUM(Table14[[#This Row],[Date]])</f>
        <v>S24</v>
      </c>
    </row>
    <row r="893" spans="1:3" x14ac:dyDescent="0.35">
      <c r="A893" s="12">
        <v>46183</v>
      </c>
      <c r="B893" s="89">
        <f>MONTH(Table14[[#This Row],[Date]])</f>
        <v>6</v>
      </c>
      <c r="C893" s="89" t="str">
        <f>"S" &amp; WEEKNUM(Table14[[#This Row],[Date]])</f>
        <v>S24</v>
      </c>
    </row>
    <row r="894" spans="1:3" x14ac:dyDescent="0.35">
      <c r="A894" s="12">
        <v>46184</v>
      </c>
      <c r="B894" s="89">
        <f>MONTH(Table14[[#This Row],[Date]])</f>
        <v>6</v>
      </c>
      <c r="C894" s="89" t="str">
        <f>"S" &amp; WEEKNUM(Table14[[#This Row],[Date]])</f>
        <v>S24</v>
      </c>
    </row>
    <row r="895" spans="1:3" x14ac:dyDescent="0.35">
      <c r="A895" s="12">
        <v>46185</v>
      </c>
      <c r="B895" s="89">
        <f>MONTH(Table14[[#This Row],[Date]])</f>
        <v>6</v>
      </c>
      <c r="C895" s="89" t="str">
        <f>"S" &amp; WEEKNUM(Table14[[#This Row],[Date]])</f>
        <v>S24</v>
      </c>
    </row>
    <row r="896" spans="1:3" x14ac:dyDescent="0.35">
      <c r="A896" s="12">
        <v>46186</v>
      </c>
      <c r="B896" s="89">
        <f>MONTH(Table14[[#This Row],[Date]])</f>
        <v>6</v>
      </c>
      <c r="C896" s="89" t="str">
        <f>"S" &amp; WEEKNUM(Table14[[#This Row],[Date]])</f>
        <v>S24</v>
      </c>
    </row>
    <row r="897" spans="1:3" x14ac:dyDescent="0.35">
      <c r="A897" s="12">
        <v>46187</v>
      </c>
      <c r="B897" s="89">
        <f>MONTH(Table14[[#This Row],[Date]])</f>
        <v>6</v>
      </c>
      <c r="C897" s="89" t="str">
        <f>"S" &amp; WEEKNUM(Table14[[#This Row],[Date]])</f>
        <v>S25</v>
      </c>
    </row>
    <row r="898" spans="1:3" x14ac:dyDescent="0.35">
      <c r="A898" s="12">
        <v>46188</v>
      </c>
      <c r="B898" s="89">
        <f>MONTH(Table14[[#This Row],[Date]])</f>
        <v>6</v>
      </c>
      <c r="C898" s="89" t="str">
        <f>"S" &amp; WEEKNUM(Table14[[#This Row],[Date]])</f>
        <v>S25</v>
      </c>
    </row>
    <row r="899" spans="1:3" x14ac:dyDescent="0.35">
      <c r="A899" s="12">
        <v>46189</v>
      </c>
      <c r="B899" s="89">
        <f>MONTH(Table14[[#This Row],[Date]])</f>
        <v>6</v>
      </c>
      <c r="C899" s="89" t="str">
        <f>"S" &amp; WEEKNUM(Table14[[#This Row],[Date]])</f>
        <v>S25</v>
      </c>
    </row>
    <row r="900" spans="1:3" x14ac:dyDescent="0.35">
      <c r="A900" s="12">
        <v>46190</v>
      </c>
      <c r="B900" s="89">
        <f>MONTH(Table14[[#This Row],[Date]])</f>
        <v>6</v>
      </c>
      <c r="C900" s="89" t="str">
        <f>"S" &amp; WEEKNUM(Table14[[#This Row],[Date]])</f>
        <v>S25</v>
      </c>
    </row>
    <row r="901" spans="1:3" x14ac:dyDescent="0.35">
      <c r="A901" s="12">
        <v>46191</v>
      </c>
      <c r="B901" s="89">
        <f>MONTH(Table14[[#This Row],[Date]])</f>
        <v>6</v>
      </c>
      <c r="C901" s="89" t="str">
        <f>"S" &amp; WEEKNUM(Table14[[#This Row],[Date]])</f>
        <v>S25</v>
      </c>
    </row>
    <row r="902" spans="1:3" x14ac:dyDescent="0.35">
      <c r="A902" s="12">
        <v>46192</v>
      </c>
      <c r="B902" s="89">
        <f>MONTH(Table14[[#This Row],[Date]])</f>
        <v>6</v>
      </c>
      <c r="C902" s="89" t="str">
        <f>"S" &amp; WEEKNUM(Table14[[#This Row],[Date]])</f>
        <v>S25</v>
      </c>
    </row>
    <row r="903" spans="1:3" x14ac:dyDescent="0.35">
      <c r="A903" s="12">
        <v>46193</v>
      </c>
      <c r="B903" s="89">
        <f>MONTH(Table14[[#This Row],[Date]])</f>
        <v>6</v>
      </c>
      <c r="C903" s="89" t="str">
        <f>"S" &amp; WEEKNUM(Table14[[#This Row],[Date]])</f>
        <v>S25</v>
      </c>
    </row>
    <row r="904" spans="1:3" x14ac:dyDescent="0.35">
      <c r="A904" s="12">
        <v>46194</v>
      </c>
      <c r="B904" s="89">
        <f>MONTH(Table14[[#This Row],[Date]])</f>
        <v>6</v>
      </c>
      <c r="C904" s="89" t="str">
        <f>"S" &amp; WEEKNUM(Table14[[#This Row],[Date]])</f>
        <v>S26</v>
      </c>
    </row>
    <row r="905" spans="1:3" x14ac:dyDescent="0.35">
      <c r="A905" s="12">
        <v>46195</v>
      </c>
      <c r="B905" s="89">
        <f>MONTH(Table14[[#This Row],[Date]])</f>
        <v>6</v>
      </c>
      <c r="C905" s="89" t="str">
        <f>"S" &amp; WEEKNUM(Table14[[#This Row],[Date]])</f>
        <v>S26</v>
      </c>
    </row>
    <row r="906" spans="1:3" x14ac:dyDescent="0.35">
      <c r="A906" s="12">
        <v>46196</v>
      </c>
      <c r="B906" s="89">
        <f>MONTH(Table14[[#This Row],[Date]])</f>
        <v>6</v>
      </c>
      <c r="C906" s="89" t="str">
        <f>"S" &amp; WEEKNUM(Table14[[#This Row],[Date]])</f>
        <v>S26</v>
      </c>
    </row>
    <row r="907" spans="1:3" x14ac:dyDescent="0.35">
      <c r="A907" s="12">
        <v>46197</v>
      </c>
      <c r="B907" s="89">
        <f>MONTH(Table14[[#This Row],[Date]])</f>
        <v>6</v>
      </c>
      <c r="C907" s="89" t="str">
        <f>"S" &amp; WEEKNUM(Table14[[#This Row],[Date]])</f>
        <v>S26</v>
      </c>
    </row>
    <row r="908" spans="1:3" x14ac:dyDescent="0.35">
      <c r="A908" s="12">
        <v>46198</v>
      </c>
      <c r="B908" s="89">
        <f>MONTH(Table14[[#This Row],[Date]])</f>
        <v>6</v>
      </c>
      <c r="C908" s="89" t="str">
        <f>"S" &amp; WEEKNUM(Table14[[#This Row],[Date]])</f>
        <v>S26</v>
      </c>
    </row>
    <row r="909" spans="1:3" x14ac:dyDescent="0.35">
      <c r="A909" s="12">
        <v>46199</v>
      </c>
      <c r="B909" s="89">
        <f>MONTH(Table14[[#This Row],[Date]])</f>
        <v>6</v>
      </c>
      <c r="C909" s="89" t="str">
        <f>"S" &amp; WEEKNUM(Table14[[#This Row],[Date]])</f>
        <v>S26</v>
      </c>
    </row>
    <row r="910" spans="1:3" x14ac:dyDescent="0.35">
      <c r="A910" s="12">
        <v>46200</v>
      </c>
      <c r="B910" s="89">
        <f>MONTH(Table14[[#This Row],[Date]])</f>
        <v>6</v>
      </c>
      <c r="C910" s="89" t="str">
        <f>"S" &amp; WEEKNUM(Table14[[#This Row],[Date]])</f>
        <v>S26</v>
      </c>
    </row>
    <row r="911" spans="1:3" x14ac:dyDescent="0.35">
      <c r="A911" s="12">
        <v>46201</v>
      </c>
      <c r="B911" s="89">
        <f>MONTH(Table14[[#This Row],[Date]])</f>
        <v>6</v>
      </c>
      <c r="C911" s="89" t="str">
        <f>"S" &amp; WEEKNUM(Table14[[#This Row],[Date]])</f>
        <v>S27</v>
      </c>
    </row>
    <row r="912" spans="1:3" x14ac:dyDescent="0.35">
      <c r="A912" s="12">
        <v>46202</v>
      </c>
      <c r="B912" s="89">
        <f>MONTH(Table14[[#This Row],[Date]])</f>
        <v>6</v>
      </c>
      <c r="C912" s="89" t="str">
        <f>"S" &amp; WEEKNUM(Table14[[#This Row],[Date]])</f>
        <v>S27</v>
      </c>
    </row>
    <row r="913" spans="1:3" x14ac:dyDescent="0.35">
      <c r="A913" s="12">
        <v>46203</v>
      </c>
      <c r="B913" s="89">
        <f>MONTH(Table14[[#This Row],[Date]])</f>
        <v>6</v>
      </c>
      <c r="C913" s="89" t="str">
        <f>"S" &amp; WEEKNUM(Table14[[#This Row],[Date]])</f>
        <v>S27</v>
      </c>
    </row>
    <row r="914" spans="1:3" x14ac:dyDescent="0.35">
      <c r="A914" s="12">
        <v>46204</v>
      </c>
      <c r="B914" s="89">
        <f>MONTH(Table14[[#This Row],[Date]])</f>
        <v>7</v>
      </c>
      <c r="C914" s="89" t="str">
        <f>"S" &amp; WEEKNUM(Table14[[#This Row],[Date]])</f>
        <v>S27</v>
      </c>
    </row>
    <row r="915" spans="1:3" x14ac:dyDescent="0.35">
      <c r="A915" s="12">
        <v>46205</v>
      </c>
      <c r="B915" s="89">
        <f>MONTH(Table14[[#This Row],[Date]])</f>
        <v>7</v>
      </c>
      <c r="C915" s="89" t="str">
        <f>"S" &amp; WEEKNUM(Table14[[#This Row],[Date]])</f>
        <v>S27</v>
      </c>
    </row>
    <row r="916" spans="1:3" x14ac:dyDescent="0.35">
      <c r="A916" s="12">
        <v>46206</v>
      </c>
      <c r="B916" s="89">
        <f>MONTH(Table14[[#This Row],[Date]])</f>
        <v>7</v>
      </c>
      <c r="C916" s="89" t="str">
        <f>"S" &amp; WEEKNUM(Table14[[#This Row],[Date]])</f>
        <v>S27</v>
      </c>
    </row>
    <row r="917" spans="1:3" x14ac:dyDescent="0.35">
      <c r="A917" s="12">
        <v>46207</v>
      </c>
      <c r="B917" s="89">
        <f>MONTH(Table14[[#This Row],[Date]])</f>
        <v>7</v>
      </c>
      <c r="C917" s="89" t="str">
        <f>"S" &amp; WEEKNUM(Table14[[#This Row],[Date]])</f>
        <v>S27</v>
      </c>
    </row>
    <row r="918" spans="1:3" x14ac:dyDescent="0.35">
      <c r="A918" s="12">
        <v>46208</v>
      </c>
      <c r="B918" s="89">
        <f>MONTH(Table14[[#This Row],[Date]])</f>
        <v>7</v>
      </c>
      <c r="C918" s="89" t="str">
        <f>"S" &amp; WEEKNUM(Table14[[#This Row],[Date]])</f>
        <v>S28</v>
      </c>
    </row>
    <row r="919" spans="1:3" x14ac:dyDescent="0.35">
      <c r="A919" s="12">
        <v>46209</v>
      </c>
      <c r="B919" s="89">
        <f>MONTH(Table14[[#This Row],[Date]])</f>
        <v>7</v>
      </c>
      <c r="C919" s="89" t="str">
        <f>"S" &amp; WEEKNUM(Table14[[#This Row],[Date]])</f>
        <v>S28</v>
      </c>
    </row>
    <row r="920" spans="1:3" x14ac:dyDescent="0.35">
      <c r="A920" s="12">
        <v>46210</v>
      </c>
      <c r="B920" s="89">
        <f>MONTH(Table14[[#This Row],[Date]])</f>
        <v>7</v>
      </c>
      <c r="C920" s="89" t="str">
        <f>"S" &amp; WEEKNUM(Table14[[#This Row],[Date]])</f>
        <v>S28</v>
      </c>
    </row>
    <row r="921" spans="1:3" x14ac:dyDescent="0.35">
      <c r="A921" s="12">
        <v>46211</v>
      </c>
      <c r="B921" s="89">
        <f>MONTH(Table14[[#This Row],[Date]])</f>
        <v>7</v>
      </c>
      <c r="C921" s="89" t="str">
        <f>"S" &amp; WEEKNUM(Table14[[#This Row],[Date]])</f>
        <v>S28</v>
      </c>
    </row>
    <row r="922" spans="1:3" x14ac:dyDescent="0.35">
      <c r="A922" s="12">
        <v>46212</v>
      </c>
      <c r="B922" s="89">
        <f>MONTH(Table14[[#This Row],[Date]])</f>
        <v>7</v>
      </c>
      <c r="C922" s="89" t="str">
        <f>"S" &amp; WEEKNUM(Table14[[#This Row],[Date]])</f>
        <v>S28</v>
      </c>
    </row>
    <row r="923" spans="1:3" x14ac:dyDescent="0.35">
      <c r="A923" s="12">
        <v>46213</v>
      </c>
      <c r="B923" s="89">
        <f>MONTH(Table14[[#This Row],[Date]])</f>
        <v>7</v>
      </c>
      <c r="C923" s="89" t="str">
        <f>"S" &amp; WEEKNUM(Table14[[#This Row],[Date]])</f>
        <v>S28</v>
      </c>
    </row>
    <row r="924" spans="1:3" x14ac:dyDescent="0.35">
      <c r="A924" s="12">
        <v>46214</v>
      </c>
      <c r="B924" s="89">
        <f>MONTH(Table14[[#This Row],[Date]])</f>
        <v>7</v>
      </c>
      <c r="C924" s="89" t="str">
        <f>"S" &amp; WEEKNUM(Table14[[#This Row],[Date]])</f>
        <v>S28</v>
      </c>
    </row>
    <row r="925" spans="1:3" x14ac:dyDescent="0.35">
      <c r="A925" s="12">
        <v>46215</v>
      </c>
      <c r="B925" s="89">
        <f>MONTH(Table14[[#This Row],[Date]])</f>
        <v>7</v>
      </c>
      <c r="C925" s="89" t="str">
        <f>"S" &amp; WEEKNUM(Table14[[#This Row],[Date]])</f>
        <v>S29</v>
      </c>
    </row>
    <row r="926" spans="1:3" x14ac:dyDescent="0.35">
      <c r="A926" s="12">
        <v>46216</v>
      </c>
      <c r="B926" s="89">
        <f>MONTH(Table14[[#This Row],[Date]])</f>
        <v>7</v>
      </c>
      <c r="C926" s="89" t="str">
        <f>"S" &amp; WEEKNUM(Table14[[#This Row],[Date]])</f>
        <v>S29</v>
      </c>
    </row>
    <row r="927" spans="1:3" x14ac:dyDescent="0.35">
      <c r="A927" s="12">
        <v>46217</v>
      </c>
      <c r="B927" s="89">
        <f>MONTH(Table14[[#This Row],[Date]])</f>
        <v>7</v>
      </c>
      <c r="C927" s="89" t="str">
        <f>"S" &amp; WEEKNUM(Table14[[#This Row],[Date]])</f>
        <v>S29</v>
      </c>
    </row>
    <row r="928" spans="1:3" x14ac:dyDescent="0.35">
      <c r="A928" s="12">
        <v>46218</v>
      </c>
      <c r="B928" s="89">
        <f>MONTH(Table14[[#This Row],[Date]])</f>
        <v>7</v>
      </c>
      <c r="C928" s="89" t="str">
        <f>"S" &amp; WEEKNUM(Table14[[#This Row],[Date]])</f>
        <v>S29</v>
      </c>
    </row>
    <row r="929" spans="1:3" x14ac:dyDescent="0.35">
      <c r="A929" s="12">
        <v>46219</v>
      </c>
      <c r="B929" s="89">
        <f>MONTH(Table14[[#This Row],[Date]])</f>
        <v>7</v>
      </c>
      <c r="C929" s="89" t="str">
        <f>"S" &amp; WEEKNUM(Table14[[#This Row],[Date]])</f>
        <v>S29</v>
      </c>
    </row>
    <row r="930" spans="1:3" x14ac:dyDescent="0.35">
      <c r="A930" s="12">
        <v>46220</v>
      </c>
      <c r="B930" s="89">
        <f>MONTH(Table14[[#This Row],[Date]])</f>
        <v>7</v>
      </c>
      <c r="C930" s="89" t="str">
        <f>"S" &amp; WEEKNUM(Table14[[#This Row],[Date]])</f>
        <v>S29</v>
      </c>
    </row>
    <row r="931" spans="1:3" x14ac:dyDescent="0.35">
      <c r="A931" s="12">
        <v>46221</v>
      </c>
      <c r="B931" s="89">
        <f>MONTH(Table14[[#This Row],[Date]])</f>
        <v>7</v>
      </c>
      <c r="C931" s="89" t="str">
        <f>"S" &amp; WEEKNUM(Table14[[#This Row],[Date]])</f>
        <v>S29</v>
      </c>
    </row>
    <row r="932" spans="1:3" x14ac:dyDescent="0.35">
      <c r="A932" s="12">
        <v>46222</v>
      </c>
      <c r="B932" s="89">
        <f>MONTH(Table14[[#This Row],[Date]])</f>
        <v>7</v>
      </c>
      <c r="C932" s="89" t="str">
        <f>"S" &amp; WEEKNUM(Table14[[#This Row],[Date]])</f>
        <v>S30</v>
      </c>
    </row>
    <row r="933" spans="1:3" x14ac:dyDescent="0.35">
      <c r="A933" s="12">
        <v>46223</v>
      </c>
      <c r="B933" s="89">
        <f>MONTH(Table14[[#This Row],[Date]])</f>
        <v>7</v>
      </c>
      <c r="C933" s="89" t="str">
        <f>"S" &amp; WEEKNUM(Table14[[#This Row],[Date]])</f>
        <v>S30</v>
      </c>
    </row>
    <row r="934" spans="1:3" x14ac:dyDescent="0.35">
      <c r="A934" s="12">
        <v>46224</v>
      </c>
      <c r="B934" s="89">
        <f>MONTH(Table14[[#This Row],[Date]])</f>
        <v>7</v>
      </c>
      <c r="C934" s="89" t="str">
        <f>"S" &amp; WEEKNUM(Table14[[#This Row],[Date]])</f>
        <v>S30</v>
      </c>
    </row>
    <row r="935" spans="1:3" x14ac:dyDescent="0.35">
      <c r="A935" s="12">
        <v>46225</v>
      </c>
      <c r="B935" s="89">
        <f>MONTH(Table14[[#This Row],[Date]])</f>
        <v>7</v>
      </c>
      <c r="C935" s="89" t="str">
        <f>"S" &amp; WEEKNUM(Table14[[#This Row],[Date]])</f>
        <v>S30</v>
      </c>
    </row>
    <row r="936" spans="1:3" x14ac:dyDescent="0.35">
      <c r="A936" s="12">
        <v>46226</v>
      </c>
      <c r="B936" s="89">
        <f>MONTH(Table14[[#This Row],[Date]])</f>
        <v>7</v>
      </c>
      <c r="C936" s="89" t="str">
        <f>"S" &amp; WEEKNUM(Table14[[#This Row],[Date]])</f>
        <v>S30</v>
      </c>
    </row>
    <row r="937" spans="1:3" x14ac:dyDescent="0.35">
      <c r="A937" s="12">
        <v>46227</v>
      </c>
      <c r="B937" s="89">
        <f>MONTH(Table14[[#This Row],[Date]])</f>
        <v>7</v>
      </c>
      <c r="C937" s="89" t="str">
        <f>"S" &amp; WEEKNUM(Table14[[#This Row],[Date]])</f>
        <v>S30</v>
      </c>
    </row>
    <row r="938" spans="1:3" x14ac:dyDescent="0.35">
      <c r="A938" s="12">
        <v>46228</v>
      </c>
      <c r="B938" s="89">
        <f>MONTH(Table14[[#This Row],[Date]])</f>
        <v>7</v>
      </c>
      <c r="C938" s="89" t="str">
        <f>"S" &amp; WEEKNUM(Table14[[#This Row],[Date]])</f>
        <v>S30</v>
      </c>
    </row>
    <row r="939" spans="1:3" x14ac:dyDescent="0.35">
      <c r="A939" s="12">
        <v>46229</v>
      </c>
      <c r="B939" s="89">
        <f>MONTH(Table14[[#This Row],[Date]])</f>
        <v>7</v>
      </c>
      <c r="C939" s="89" t="str">
        <f>"S" &amp; WEEKNUM(Table14[[#This Row],[Date]])</f>
        <v>S31</v>
      </c>
    </row>
    <row r="940" spans="1:3" x14ac:dyDescent="0.35">
      <c r="A940" s="12">
        <v>46230</v>
      </c>
      <c r="B940" s="89">
        <f>MONTH(Table14[[#This Row],[Date]])</f>
        <v>7</v>
      </c>
      <c r="C940" s="89" t="str">
        <f>"S" &amp; WEEKNUM(Table14[[#This Row],[Date]])</f>
        <v>S31</v>
      </c>
    </row>
    <row r="941" spans="1:3" x14ac:dyDescent="0.35">
      <c r="A941" s="12">
        <v>46231</v>
      </c>
      <c r="B941" s="89">
        <f>MONTH(Table14[[#This Row],[Date]])</f>
        <v>7</v>
      </c>
      <c r="C941" s="89" t="str">
        <f>"S" &amp; WEEKNUM(Table14[[#This Row],[Date]])</f>
        <v>S31</v>
      </c>
    </row>
    <row r="942" spans="1:3" x14ac:dyDescent="0.35">
      <c r="A942" s="12">
        <v>46232</v>
      </c>
      <c r="B942" s="89">
        <f>MONTH(Table14[[#This Row],[Date]])</f>
        <v>7</v>
      </c>
      <c r="C942" s="89" t="str">
        <f>"S" &amp; WEEKNUM(Table14[[#This Row],[Date]])</f>
        <v>S31</v>
      </c>
    </row>
    <row r="943" spans="1:3" x14ac:dyDescent="0.35">
      <c r="A943" s="12">
        <v>46233</v>
      </c>
      <c r="B943" s="89">
        <f>MONTH(Table14[[#This Row],[Date]])</f>
        <v>7</v>
      </c>
      <c r="C943" s="89" t="str">
        <f>"S" &amp; WEEKNUM(Table14[[#This Row],[Date]])</f>
        <v>S31</v>
      </c>
    </row>
    <row r="944" spans="1:3" x14ac:dyDescent="0.35">
      <c r="A944" s="12">
        <v>46234</v>
      </c>
      <c r="B944" s="89">
        <f>MONTH(Table14[[#This Row],[Date]])</f>
        <v>7</v>
      </c>
      <c r="C944" s="89" t="str">
        <f>"S" &amp; WEEKNUM(Table14[[#This Row],[Date]])</f>
        <v>S31</v>
      </c>
    </row>
    <row r="945" spans="1:3" x14ac:dyDescent="0.35">
      <c r="A945" s="12">
        <v>46235</v>
      </c>
      <c r="B945" s="89">
        <f>MONTH(Table14[[#This Row],[Date]])</f>
        <v>8</v>
      </c>
      <c r="C945" s="89" t="str">
        <f>"S" &amp; WEEKNUM(Table14[[#This Row],[Date]])</f>
        <v>S31</v>
      </c>
    </row>
    <row r="946" spans="1:3" x14ac:dyDescent="0.35">
      <c r="A946" s="12">
        <v>46236</v>
      </c>
      <c r="B946" s="89">
        <f>MONTH(Table14[[#This Row],[Date]])</f>
        <v>8</v>
      </c>
      <c r="C946" s="89" t="str">
        <f>"S" &amp; WEEKNUM(Table14[[#This Row],[Date]])</f>
        <v>S32</v>
      </c>
    </row>
    <row r="947" spans="1:3" x14ac:dyDescent="0.35">
      <c r="A947" s="12">
        <v>46237</v>
      </c>
      <c r="B947" s="89">
        <f>MONTH(Table14[[#This Row],[Date]])</f>
        <v>8</v>
      </c>
      <c r="C947" s="89" t="str">
        <f>"S" &amp; WEEKNUM(Table14[[#This Row],[Date]])</f>
        <v>S32</v>
      </c>
    </row>
    <row r="948" spans="1:3" x14ac:dyDescent="0.35">
      <c r="A948" s="12">
        <v>46238</v>
      </c>
      <c r="B948" s="89">
        <f>MONTH(Table14[[#This Row],[Date]])</f>
        <v>8</v>
      </c>
      <c r="C948" s="89" t="str">
        <f>"S" &amp; WEEKNUM(Table14[[#This Row],[Date]])</f>
        <v>S32</v>
      </c>
    </row>
    <row r="949" spans="1:3" x14ac:dyDescent="0.35">
      <c r="A949" s="12">
        <v>46239</v>
      </c>
      <c r="B949" s="89">
        <f>MONTH(Table14[[#This Row],[Date]])</f>
        <v>8</v>
      </c>
      <c r="C949" s="89" t="str">
        <f>"S" &amp; WEEKNUM(Table14[[#This Row],[Date]])</f>
        <v>S32</v>
      </c>
    </row>
    <row r="950" spans="1:3" x14ac:dyDescent="0.35">
      <c r="A950" s="12">
        <v>46240</v>
      </c>
      <c r="B950" s="89">
        <f>MONTH(Table14[[#This Row],[Date]])</f>
        <v>8</v>
      </c>
      <c r="C950" s="89" t="str">
        <f>"S" &amp; WEEKNUM(Table14[[#This Row],[Date]])</f>
        <v>S32</v>
      </c>
    </row>
    <row r="951" spans="1:3" x14ac:dyDescent="0.35">
      <c r="A951" s="12">
        <v>46241</v>
      </c>
      <c r="B951" s="89">
        <f>MONTH(Table14[[#This Row],[Date]])</f>
        <v>8</v>
      </c>
      <c r="C951" s="89" t="str">
        <f>"S" &amp; WEEKNUM(Table14[[#This Row],[Date]])</f>
        <v>S32</v>
      </c>
    </row>
    <row r="952" spans="1:3" x14ac:dyDescent="0.35">
      <c r="A952" s="12">
        <v>46242</v>
      </c>
      <c r="B952" s="89">
        <f>MONTH(Table14[[#This Row],[Date]])</f>
        <v>8</v>
      </c>
      <c r="C952" s="89" t="str">
        <f>"S" &amp; WEEKNUM(Table14[[#This Row],[Date]])</f>
        <v>S32</v>
      </c>
    </row>
    <row r="953" spans="1:3" x14ac:dyDescent="0.35">
      <c r="A953" s="12">
        <v>46243</v>
      </c>
      <c r="B953" s="89">
        <f>MONTH(Table14[[#This Row],[Date]])</f>
        <v>8</v>
      </c>
      <c r="C953" s="89" t="str">
        <f>"S" &amp; WEEKNUM(Table14[[#This Row],[Date]])</f>
        <v>S33</v>
      </c>
    </row>
    <row r="954" spans="1:3" x14ac:dyDescent="0.35">
      <c r="A954" s="12">
        <v>46244</v>
      </c>
      <c r="B954" s="89">
        <f>MONTH(Table14[[#This Row],[Date]])</f>
        <v>8</v>
      </c>
      <c r="C954" s="89" t="str">
        <f>"S" &amp; WEEKNUM(Table14[[#This Row],[Date]])</f>
        <v>S33</v>
      </c>
    </row>
    <row r="955" spans="1:3" x14ac:dyDescent="0.35">
      <c r="A955" s="12">
        <v>46245</v>
      </c>
      <c r="B955" s="89">
        <f>MONTH(Table14[[#This Row],[Date]])</f>
        <v>8</v>
      </c>
      <c r="C955" s="89" t="str">
        <f>"S" &amp; WEEKNUM(Table14[[#This Row],[Date]])</f>
        <v>S33</v>
      </c>
    </row>
    <row r="956" spans="1:3" x14ac:dyDescent="0.35">
      <c r="A956" s="12">
        <v>46246</v>
      </c>
      <c r="B956" s="89">
        <f>MONTH(Table14[[#This Row],[Date]])</f>
        <v>8</v>
      </c>
      <c r="C956" s="89" t="str">
        <f>"S" &amp; WEEKNUM(Table14[[#This Row],[Date]])</f>
        <v>S33</v>
      </c>
    </row>
    <row r="957" spans="1:3" x14ac:dyDescent="0.35">
      <c r="A957" s="12">
        <v>46247</v>
      </c>
      <c r="B957" s="89">
        <f>MONTH(Table14[[#This Row],[Date]])</f>
        <v>8</v>
      </c>
      <c r="C957" s="89" t="str">
        <f>"S" &amp; WEEKNUM(Table14[[#This Row],[Date]])</f>
        <v>S33</v>
      </c>
    </row>
    <row r="958" spans="1:3" x14ac:dyDescent="0.35">
      <c r="A958" s="12">
        <v>46248</v>
      </c>
      <c r="B958" s="89">
        <f>MONTH(Table14[[#This Row],[Date]])</f>
        <v>8</v>
      </c>
      <c r="C958" s="89" t="str">
        <f>"S" &amp; WEEKNUM(Table14[[#This Row],[Date]])</f>
        <v>S33</v>
      </c>
    </row>
    <row r="959" spans="1:3" x14ac:dyDescent="0.35">
      <c r="A959" s="12">
        <v>46249</v>
      </c>
      <c r="B959" s="89">
        <f>MONTH(Table14[[#This Row],[Date]])</f>
        <v>8</v>
      </c>
      <c r="C959" s="89" t="str">
        <f>"S" &amp; WEEKNUM(Table14[[#This Row],[Date]])</f>
        <v>S33</v>
      </c>
    </row>
    <row r="960" spans="1:3" x14ac:dyDescent="0.35">
      <c r="A960" s="12">
        <v>46250</v>
      </c>
      <c r="B960" s="89">
        <f>MONTH(Table14[[#This Row],[Date]])</f>
        <v>8</v>
      </c>
      <c r="C960" s="89" t="str">
        <f>"S" &amp; WEEKNUM(Table14[[#This Row],[Date]])</f>
        <v>S34</v>
      </c>
    </row>
    <row r="961" spans="1:3" x14ac:dyDescent="0.35">
      <c r="A961" s="12">
        <v>46251</v>
      </c>
      <c r="B961" s="89">
        <f>MONTH(Table14[[#This Row],[Date]])</f>
        <v>8</v>
      </c>
      <c r="C961" s="89" t="str">
        <f>"S" &amp; WEEKNUM(Table14[[#This Row],[Date]])</f>
        <v>S34</v>
      </c>
    </row>
    <row r="962" spans="1:3" x14ac:dyDescent="0.35">
      <c r="A962" s="12">
        <v>46252</v>
      </c>
      <c r="B962" s="89">
        <f>MONTH(Table14[[#This Row],[Date]])</f>
        <v>8</v>
      </c>
      <c r="C962" s="89" t="str">
        <f>"S" &amp; WEEKNUM(Table14[[#This Row],[Date]])</f>
        <v>S34</v>
      </c>
    </row>
    <row r="963" spans="1:3" x14ac:dyDescent="0.35">
      <c r="A963" s="12">
        <v>46253</v>
      </c>
      <c r="B963" s="89">
        <f>MONTH(Table14[[#This Row],[Date]])</f>
        <v>8</v>
      </c>
      <c r="C963" s="89" t="str">
        <f>"S" &amp; WEEKNUM(Table14[[#This Row],[Date]])</f>
        <v>S34</v>
      </c>
    </row>
    <row r="964" spans="1:3" x14ac:dyDescent="0.35">
      <c r="A964" s="12">
        <v>46254</v>
      </c>
      <c r="B964" s="89">
        <f>MONTH(Table14[[#This Row],[Date]])</f>
        <v>8</v>
      </c>
      <c r="C964" s="89" t="str">
        <f>"S" &amp; WEEKNUM(Table14[[#This Row],[Date]])</f>
        <v>S34</v>
      </c>
    </row>
    <row r="965" spans="1:3" x14ac:dyDescent="0.35">
      <c r="A965" s="12">
        <v>46255</v>
      </c>
      <c r="B965" s="89">
        <f>MONTH(Table14[[#This Row],[Date]])</f>
        <v>8</v>
      </c>
      <c r="C965" s="89" t="str">
        <f>"S" &amp; WEEKNUM(Table14[[#This Row],[Date]])</f>
        <v>S34</v>
      </c>
    </row>
    <row r="966" spans="1:3" x14ac:dyDescent="0.35">
      <c r="A966" s="12">
        <v>46256</v>
      </c>
      <c r="B966" s="89">
        <f>MONTH(Table14[[#This Row],[Date]])</f>
        <v>8</v>
      </c>
      <c r="C966" s="89" t="str">
        <f>"S" &amp; WEEKNUM(Table14[[#This Row],[Date]])</f>
        <v>S34</v>
      </c>
    </row>
    <row r="967" spans="1:3" x14ac:dyDescent="0.35">
      <c r="A967" s="12">
        <v>46257</v>
      </c>
      <c r="B967" s="89">
        <f>MONTH(Table14[[#This Row],[Date]])</f>
        <v>8</v>
      </c>
      <c r="C967" s="89" t="str">
        <f>"S" &amp; WEEKNUM(Table14[[#This Row],[Date]])</f>
        <v>S35</v>
      </c>
    </row>
    <row r="968" spans="1:3" x14ac:dyDescent="0.35">
      <c r="A968" s="12">
        <v>46258</v>
      </c>
      <c r="B968" s="89">
        <f>MONTH(Table14[[#This Row],[Date]])</f>
        <v>8</v>
      </c>
      <c r="C968" s="89" t="str">
        <f>"S" &amp; WEEKNUM(Table14[[#This Row],[Date]])</f>
        <v>S35</v>
      </c>
    </row>
    <row r="969" spans="1:3" x14ac:dyDescent="0.35">
      <c r="A969" s="12">
        <v>46259</v>
      </c>
      <c r="B969" s="89">
        <f>MONTH(Table14[[#This Row],[Date]])</f>
        <v>8</v>
      </c>
      <c r="C969" s="89" t="str">
        <f>"S" &amp; WEEKNUM(Table14[[#This Row],[Date]])</f>
        <v>S35</v>
      </c>
    </row>
    <row r="970" spans="1:3" x14ac:dyDescent="0.35">
      <c r="A970" s="12">
        <v>46260</v>
      </c>
      <c r="B970" s="89">
        <f>MONTH(Table14[[#This Row],[Date]])</f>
        <v>8</v>
      </c>
      <c r="C970" s="89" t="str">
        <f>"S" &amp; WEEKNUM(Table14[[#This Row],[Date]])</f>
        <v>S35</v>
      </c>
    </row>
    <row r="971" spans="1:3" x14ac:dyDescent="0.35">
      <c r="A971" s="12">
        <v>46261</v>
      </c>
      <c r="B971" s="89">
        <f>MONTH(Table14[[#This Row],[Date]])</f>
        <v>8</v>
      </c>
      <c r="C971" s="89" t="str">
        <f>"S" &amp; WEEKNUM(Table14[[#This Row],[Date]])</f>
        <v>S35</v>
      </c>
    </row>
    <row r="972" spans="1:3" x14ac:dyDescent="0.35">
      <c r="A972" s="12">
        <v>46262</v>
      </c>
      <c r="B972" s="89">
        <f>MONTH(Table14[[#This Row],[Date]])</f>
        <v>8</v>
      </c>
      <c r="C972" s="89" t="str">
        <f>"S" &amp; WEEKNUM(Table14[[#This Row],[Date]])</f>
        <v>S35</v>
      </c>
    </row>
    <row r="973" spans="1:3" x14ac:dyDescent="0.35">
      <c r="A973" s="12">
        <v>46263</v>
      </c>
      <c r="B973" s="89">
        <f>MONTH(Table14[[#This Row],[Date]])</f>
        <v>8</v>
      </c>
      <c r="C973" s="89" t="str">
        <f>"S" &amp; WEEKNUM(Table14[[#This Row],[Date]])</f>
        <v>S35</v>
      </c>
    </row>
    <row r="974" spans="1:3" x14ac:dyDescent="0.35">
      <c r="A974" s="12">
        <v>46264</v>
      </c>
      <c r="B974" s="89">
        <f>MONTH(Table14[[#This Row],[Date]])</f>
        <v>8</v>
      </c>
      <c r="C974" s="89" t="str">
        <f>"S" &amp; WEEKNUM(Table14[[#This Row],[Date]])</f>
        <v>S36</v>
      </c>
    </row>
    <row r="975" spans="1:3" x14ac:dyDescent="0.35">
      <c r="A975" s="12">
        <v>46265</v>
      </c>
      <c r="B975" s="89">
        <f>MONTH(Table14[[#This Row],[Date]])</f>
        <v>8</v>
      </c>
      <c r="C975" s="89" t="str">
        <f>"S" &amp; WEEKNUM(Table14[[#This Row],[Date]])</f>
        <v>S36</v>
      </c>
    </row>
    <row r="976" spans="1:3" x14ac:dyDescent="0.35">
      <c r="A976" s="12">
        <v>46266</v>
      </c>
      <c r="B976" s="89">
        <f>MONTH(Table14[[#This Row],[Date]])</f>
        <v>9</v>
      </c>
      <c r="C976" s="89" t="str">
        <f>"S" &amp; WEEKNUM(Table14[[#This Row],[Date]])</f>
        <v>S36</v>
      </c>
    </row>
    <row r="977" spans="1:3" x14ac:dyDescent="0.35">
      <c r="A977" s="12">
        <v>46267</v>
      </c>
      <c r="B977" s="89">
        <f>MONTH(Table14[[#This Row],[Date]])</f>
        <v>9</v>
      </c>
      <c r="C977" s="89" t="str">
        <f>"S" &amp; WEEKNUM(Table14[[#This Row],[Date]])</f>
        <v>S36</v>
      </c>
    </row>
    <row r="978" spans="1:3" x14ac:dyDescent="0.35">
      <c r="A978" s="12">
        <v>46268</v>
      </c>
      <c r="B978" s="89">
        <f>MONTH(Table14[[#This Row],[Date]])</f>
        <v>9</v>
      </c>
      <c r="C978" s="89" t="str">
        <f>"S" &amp; WEEKNUM(Table14[[#This Row],[Date]])</f>
        <v>S36</v>
      </c>
    </row>
    <row r="979" spans="1:3" x14ac:dyDescent="0.35">
      <c r="A979" s="12">
        <v>46269</v>
      </c>
      <c r="B979" s="89">
        <f>MONTH(Table14[[#This Row],[Date]])</f>
        <v>9</v>
      </c>
      <c r="C979" s="89" t="str">
        <f>"S" &amp; WEEKNUM(Table14[[#This Row],[Date]])</f>
        <v>S36</v>
      </c>
    </row>
    <row r="980" spans="1:3" x14ac:dyDescent="0.35">
      <c r="A980" s="12">
        <v>46270</v>
      </c>
      <c r="B980" s="89">
        <f>MONTH(Table14[[#This Row],[Date]])</f>
        <v>9</v>
      </c>
      <c r="C980" s="89" t="str">
        <f>"S" &amp; WEEKNUM(Table14[[#This Row],[Date]])</f>
        <v>S36</v>
      </c>
    </row>
    <row r="981" spans="1:3" x14ac:dyDescent="0.35">
      <c r="A981" s="12">
        <v>46271</v>
      </c>
      <c r="B981" s="89">
        <f>MONTH(Table14[[#This Row],[Date]])</f>
        <v>9</v>
      </c>
      <c r="C981" s="89" t="str">
        <f>"S" &amp; WEEKNUM(Table14[[#This Row],[Date]])</f>
        <v>S37</v>
      </c>
    </row>
    <row r="982" spans="1:3" x14ac:dyDescent="0.35">
      <c r="A982" s="12">
        <v>46272</v>
      </c>
      <c r="B982" s="89">
        <f>MONTH(Table14[[#This Row],[Date]])</f>
        <v>9</v>
      </c>
      <c r="C982" s="89" t="str">
        <f>"S" &amp; WEEKNUM(Table14[[#This Row],[Date]])</f>
        <v>S37</v>
      </c>
    </row>
    <row r="983" spans="1:3" x14ac:dyDescent="0.35">
      <c r="A983" s="12">
        <v>46273</v>
      </c>
      <c r="B983" s="89">
        <f>MONTH(Table14[[#This Row],[Date]])</f>
        <v>9</v>
      </c>
      <c r="C983" s="89" t="str">
        <f>"S" &amp; WEEKNUM(Table14[[#This Row],[Date]])</f>
        <v>S37</v>
      </c>
    </row>
    <row r="984" spans="1:3" x14ac:dyDescent="0.35">
      <c r="A984" s="12">
        <v>46274</v>
      </c>
      <c r="B984" s="89">
        <f>MONTH(Table14[[#This Row],[Date]])</f>
        <v>9</v>
      </c>
      <c r="C984" s="89" t="str">
        <f>"S" &amp; WEEKNUM(Table14[[#This Row],[Date]])</f>
        <v>S37</v>
      </c>
    </row>
    <row r="985" spans="1:3" x14ac:dyDescent="0.35">
      <c r="A985" s="12">
        <v>46275</v>
      </c>
      <c r="B985" s="89">
        <f>MONTH(Table14[[#This Row],[Date]])</f>
        <v>9</v>
      </c>
      <c r="C985" s="89" t="str">
        <f>"S" &amp; WEEKNUM(Table14[[#This Row],[Date]])</f>
        <v>S37</v>
      </c>
    </row>
    <row r="986" spans="1:3" x14ac:dyDescent="0.35">
      <c r="A986" s="12">
        <v>46276</v>
      </c>
      <c r="B986" s="89">
        <f>MONTH(Table14[[#This Row],[Date]])</f>
        <v>9</v>
      </c>
      <c r="C986" s="89" t="str">
        <f>"S" &amp; WEEKNUM(Table14[[#This Row],[Date]])</f>
        <v>S37</v>
      </c>
    </row>
    <row r="987" spans="1:3" x14ac:dyDescent="0.35">
      <c r="A987" s="12">
        <v>46277</v>
      </c>
      <c r="B987" s="89">
        <f>MONTH(Table14[[#This Row],[Date]])</f>
        <v>9</v>
      </c>
      <c r="C987" s="89" t="str">
        <f>"S" &amp; WEEKNUM(Table14[[#This Row],[Date]])</f>
        <v>S37</v>
      </c>
    </row>
    <row r="988" spans="1:3" x14ac:dyDescent="0.35">
      <c r="A988" s="12">
        <v>46278</v>
      </c>
      <c r="B988" s="89">
        <f>MONTH(Table14[[#This Row],[Date]])</f>
        <v>9</v>
      </c>
      <c r="C988" s="89" t="str">
        <f>"S" &amp; WEEKNUM(Table14[[#This Row],[Date]])</f>
        <v>S38</v>
      </c>
    </row>
    <row r="989" spans="1:3" x14ac:dyDescent="0.35">
      <c r="A989" s="12">
        <v>46279</v>
      </c>
      <c r="B989" s="89">
        <f>MONTH(Table14[[#This Row],[Date]])</f>
        <v>9</v>
      </c>
      <c r="C989" s="89" t="str">
        <f>"S" &amp; WEEKNUM(Table14[[#This Row],[Date]])</f>
        <v>S38</v>
      </c>
    </row>
    <row r="990" spans="1:3" x14ac:dyDescent="0.35">
      <c r="A990" s="12">
        <v>46280</v>
      </c>
      <c r="B990" s="89">
        <f>MONTH(Table14[[#This Row],[Date]])</f>
        <v>9</v>
      </c>
      <c r="C990" s="89" t="str">
        <f>"S" &amp; WEEKNUM(Table14[[#This Row],[Date]])</f>
        <v>S38</v>
      </c>
    </row>
    <row r="991" spans="1:3" x14ac:dyDescent="0.35">
      <c r="A991" s="12">
        <v>46281</v>
      </c>
      <c r="B991" s="89">
        <f>MONTH(Table14[[#This Row],[Date]])</f>
        <v>9</v>
      </c>
      <c r="C991" s="89" t="str">
        <f>"S" &amp; WEEKNUM(Table14[[#This Row],[Date]])</f>
        <v>S38</v>
      </c>
    </row>
    <row r="992" spans="1:3" x14ac:dyDescent="0.35">
      <c r="A992" s="12">
        <v>46282</v>
      </c>
      <c r="B992" s="89">
        <f>MONTH(Table14[[#This Row],[Date]])</f>
        <v>9</v>
      </c>
      <c r="C992" s="89" t="str">
        <f>"S" &amp; WEEKNUM(Table14[[#This Row],[Date]])</f>
        <v>S38</v>
      </c>
    </row>
    <row r="993" spans="1:3" x14ac:dyDescent="0.35">
      <c r="A993" s="12">
        <v>46283</v>
      </c>
      <c r="B993" s="89">
        <f>MONTH(Table14[[#This Row],[Date]])</f>
        <v>9</v>
      </c>
      <c r="C993" s="89" t="str">
        <f>"S" &amp; WEEKNUM(Table14[[#This Row],[Date]])</f>
        <v>S38</v>
      </c>
    </row>
    <row r="994" spans="1:3" x14ac:dyDescent="0.35">
      <c r="A994" s="12">
        <v>46284</v>
      </c>
      <c r="B994" s="89">
        <f>MONTH(Table14[[#This Row],[Date]])</f>
        <v>9</v>
      </c>
      <c r="C994" s="89" t="str">
        <f>"S" &amp; WEEKNUM(Table14[[#This Row],[Date]])</f>
        <v>S38</v>
      </c>
    </row>
    <row r="995" spans="1:3" x14ac:dyDescent="0.35">
      <c r="A995" s="12">
        <v>46285</v>
      </c>
      <c r="B995" s="89">
        <f>MONTH(Table14[[#This Row],[Date]])</f>
        <v>9</v>
      </c>
      <c r="C995" s="89" t="str">
        <f>"S" &amp; WEEKNUM(Table14[[#This Row],[Date]])</f>
        <v>S39</v>
      </c>
    </row>
    <row r="996" spans="1:3" x14ac:dyDescent="0.35">
      <c r="A996" s="12">
        <v>46286</v>
      </c>
      <c r="B996" s="89">
        <f>MONTH(Table14[[#This Row],[Date]])</f>
        <v>9</v>
      </c>
      <c r="C996" s="89" t="str">
        <f>"S" &amp; WEEKNUM(Table14[[#This Row],[Date]])</f>
        <v>S39</v>
      </c>
    </row>
    <row r="997" spans="1:3" x14ac:dyDescent="0.35">
      <c r="A997" s="12">
        <v>46287</v>
      </c>
      <c r="B997" s="89">
        <f>MONTH(Table14[[#This Row],[Date]])</f>
        <v>9</v>
      </c>
      <c r="C997" s="89" t="str">
        <f>"S" &amp; WEEKNUM(Table14[[#This Row],[Date]])</f>
        <v>S39</v>
      </c>
    </row>
    <row r="998" spans="1:3" x14ac:dyDescent="0.35">
      <c r="A998" s="12">
        <v>46288</v>
      </c>
      <c r="B998" s="89">
        <f>MONTH(Table14[[#This Row],[Date]])</f>
        <v>9</v>
      </c>
      <c r="C998" s="89" t="str">
        <f>"S" &amp; WEEKNUM(Table14[[#This Row],[Date]])</f>
        <v>S39</v>
      </c>
    </row>
    <row r="999" spans="1:3" x14ac:dyDescent="0.35">
      <c r="A999" s="12">
        <v>46289</v>
      </c>
      <c r="B999" s="89">
        <f>MONTH(Table14[[#This Row],[Date]])</f>
        <v>9</v>
      </c>
      <c r="C999" s="89" t="str">
        <f>"S" &amp; WEEKNUM(Table14[[#This Row],[Date]])</f>
        <v>S39</v>
      </c>
    </row>
    <row r="1000" spans="1:3" x14ac:dyDescent="0.35">
      <c r="A1000" s="12">
        <v>46290</v>
      </c>
      <c r="B1000" s="89">
        <f>MONTH(Table14[[#This Row],[Date]])</f>
        <v>9</v>
      </c>
      <c r="C1000" s="89" t="str">
        <f>"S" &amp; WEEKNUM(Table14[[#This Row],[Date]])</f>
        <v>S39</v>
      </c>
    </row>
    <row r="1001" spans="1:3" x14ac:dyDescent="0.35">
      <c r="A1001" s="12">
        <v>46291</v>
      </c>
      <c r="B1001" s="89">
        <f>MONTH(Table14[[#This Row],[Date]])</f>
        <v>9</v>
      </c>
      <c r="C1001" s="89" t="str">
        <f>"S" &amp; WEEKNUM(Table14[[#This Row],[Date]])</f>
        <v>S39</v>
      </c>
    </row>
    <row r="1002" spans="1:3" x14ac:dyDescent="0.35">
      <c r="A1002" s="12">
        <v>46292</v>
      </c>
      <c r="B1002" s="89">
        <f>MONTH(Table14[[#This Row],[Date]])</f>
        <v>9</v>
      </c>
      <c r="C1002" s="89" t="str">
        <f>"S" &amp; WEEKNUM(Table14[[#This Row],[Date]])</f>
        <v>S40</v>
      </c>
    </row>
    <row r="1003" spans="1:3" x14ac:dyDescent="0.35">
      <c r="A1003" s="12">
        <v>46293</v>
      </c>
      <c r="B1003" s="89">
        <f>MONTH(Table14[[#This Row],[Date]])</f>
        <v>9</v>
      </c>
      <c r="C1003" s="89" t="str">
        <f>"S" &amp; WEEKNUM(Table14[[#This Row],[Date]])</f>
        <v>S40</v>
      </c>
    </row>
    <row r="1004" spans="1:3" x14ac:dyDescent="0.35">
      <c r="A1004" s="12">
        <v>46294</v>
      </c>
      <c r="B1004" s="89">
        <f>MONTH(Table14[[#This Row],[Date]])</f>
        <v>9</v>
      </c>
      <c r="C1004" s="89" t="str">
        <f>"S" &amp; WEEKNUM(Table14[[#This Row],[Date]])</f>
        <v>S40</v>
      </c>
    </row>
    <row r="1005" spans="1:3" x14ac:dyDescent="0.35">
      <c r="A1005" s="12">
        <v>46295</v>
      </c>
      <c r="B1005" s="89">
        <f>MONTH(Table14[[#This Row],[Date]])</f>
        <v>9</v>
      </c>
      <c r="C1005" s="89" t="str">
        <f>"S" &amp; WEEKNUM(Table14[[#This Row],[Date]])</f>
        <v>S40</v>
      </c>
    </row>
    <row r="1006" spans="1:3" x14ac:dyDescent="0.35">
      <c r="A1006" s="12">
        <v>46296</v>
      </c>
      <c r="B1006" s="89">
        <f>MONTH(Table14[[#This Row],[Date]])</f>
        <v>10</v>
      </c>
      <c r="C1006" s="89" t="str">
        <f>"S" &amp; WEEKNUM(Table14[[#This Row],[Date]])</f>
        <v>S40</v>
      </c>
    </row>
    <row r="1007" spans="1:3" x14ac:dyDescent="0.35">
      <c r="A1007" s="12">
        <v>46297</v>
      </c>
      <c r="B1007" s="89">
        <f>MONTH(Table14[[#This Row],[Date]])</f>
        <v>10</v>
      </c>
      <c r="C1007" s="89" t="str">
        <f>"S" &amp; WEEKNUM(Table14[[#This Row],[Date]])</f>
        <v>S40</v>
      </c>
    </row>
    <row r="1008" spans="1:3" x14ac:dyDescent="0.35">
      <c r="A1008" s="12">
        <v>46298</v>
      </c>
      <c r="B1008" s="89">
        <f>MONTH(Table14[[#This Row],[Date]])</f>
        <v>10</v>
      </c>
      <c r="C1008" s="89" t="str">
        <f>"S" &amp; WEEKNUM(Table14[[#This Row],[Date]])</f>
        <v>S40</v>
      </c>
    </row>
    <row r="1009" spans="1:3" x14ac:dyDescent="0.35">
      <c r="A1009" s="12">
        <v>46299</v>
      </c>
      <c r="B1009" s="89">
        <f>MONTH(Table14[[#This Row],[Date]])</f>
        <v>10</v>
      </c>
      <c r="C1009" s="89" t="str">
        <f>"S" &amp; WEEKNUM(Table14[[#This Row],[Date]])</f>
        <v>S41</v>
      </c>
    </row>
    <row r="1010" spans="1:3" x14ac:dyDescent="0.35">
      <c r="A1010" s="12">
        <v>46300</v>
      </c>
      <c r="B1010" s="89">
        <f>MONTH(Table14[[#This Row],[Date]])</f>
        <v>10</v>
      </c>
      <c r="C1010" s="89" t="str">
        <f>"S" &amp; WEEKNUM(Table14[[#This Row],[Date]])</f>
        <v>S41</v>
      </c>
    </row>
    <row r="1011" spans="1:3" x14ac:dyDescent="0.35">
      <c r="A1011" s="12">
        <v>46301</v>
      </c>
      <c r="B1011" s="89">
        <f>MONTH(Table14[[#This Row],[Date]])</f>
        <v>10</v>
      </c>
      <c r="C1011" s="89" t="str">
        <f>"S" &amp; WEEKNUM(Table14[[#This Row],[Date]])</f>
        <v>S41</v>
      </c>
    </row>
    <row r="1012" spans="1:3" x14ac:dyDescent="0.35">
      <c r="A1012" s="12">
        <v>46302</v>
      </c>
      <c r="B1012" s="89">
        <f>MONTH(Table14[[#This Row],[Date]])</f>
        <v>10</v>
      </c>
      <c r="C1012" s="89" t="str">
        <f>"S" &amp; WEEKNUM(Table14[[#This Row],[Date]])</f>
        <v>S41</v>
      </c>
    </row>
    <row r="1013" spans="1:3" x14ac:dyDescent="0.35">
      <c r="A1013" s="12">
        <v>46303</v>
      </c>
      <c r="B1013" s="89">
        <f>MONTH(Table14[[#This Row],[Date]])</f>
        <v>10</v>
      </c>
      <c r="C1013" s="89" t="str">
        <f>"S" &amp; WEEKNUM(Table14[[#This Row],[Date]])</f>
        <v>S41</v>
      </c>
    </row>
    <row r="1014" spans="1:3" x14ac:dyDescent="0.35">
      <c r="A1014" s="12">
        <v>46304</v>
      </c>
      <c r="B1014" s="89">
        <f>MONTH(Table14[[#This Row],[Date]])</f>
        <v>10</v>
      </c>
      <c r="C1014" s="89" t="str">
        <f>"S" &amp; WEEKNUM(Table14[[#This Row],[Date]])</f>
        <v>S41</v>
      </c>
    </row>
    <row r="1015" spans="1:3" x14ac:dyDescent="0.35">
      <c r="A1015" s="12">
        <v>46305</v>
      </c>
      <c r="B1015" s="89">
        <f>MONTH(Table14[[#This Row],[Date]])</f>
        <v>10</v>
      </c>
      <c r="C1015" s="89" t="str">
        <f>"S" &amp; WEEKNUM(Table14[[#This Row],[Date]])</f>
        <v>S41</v>
      </c>
    </row>
    <row r="1016" spans="1:3" x14ac:dyDescent="0.35">
      <c r="A1016" s="12">
        <v>46306</v>
      </c>
      <c r="B1016" s="89">
        <f>MONTH(Table14[[#This Row],[Date]])</f>
        <v>10</v>
      </c>
      <c r="C1016" s="89" t="str">
        <f>"S" &amp; WEEKNUM(Table14[[#This Row],[Date]])</f>
        <v>S42</v>
      </c>
    </row>
    <row r="1017" spans="1:3" x14ac:dyDescent="0.35">
      <c r="A1017" s="12">
        <v>46307</v>
      </c>
      <c r="B1017" s="89">
        <f>MONTH(Table14[[#This Row],[Date]])</f>
        <v>10</v>
      </c>
      <c r="C1017" s="89" t="str">
        <f>"S" &amp; WEEKNUM(Table14[[#This Row],[Date]])</f>
        <v>S42</v>
      </c>
    </row>
    <row r="1018" spans="1:3" x14ac:dyDescent="0.35">
      <c r="A1018" s="12">
        <v>46308</v>
      </c>
      <c r="B1018" s="89">
        <f>MONTH(Table14[[#This Row],[Date]])</f>
        <v>10</v>
      </c>
      <c r="C1018" s="89" t="str">
        <f>"S" &amp; WEEKNUM(Table14[[#This Row],[Date]])</f>
        <v>S42</v>
      </c>
    </row>
    <row r="1019" spans="1:3" x14ac:dyDescent="0.35">
      <c r="A1019" s="12">
        <v>46309</v>
      </c>
      <c r="B1019" s="89">
        <f>MONTH(Table14[[#This Row],[Date]])</f>
        <v>10</v>
      </c>
      <c r="C1019" s="89" t="str">
        <f>"S" &amp; WEEKNUM(Table14[[#This Row],[Date]])</f>
        <v>S42</v>
      </c>
    </row>
    <row r="1020" spans="1:3" x14ac:dyDescent="0.35">
      <c r="A1020" s="12">
        <v>46310</v>
      </c>
      <c r="B1020" s="89">
        <f>MONTH(Table14[[#This Row],[Date]])</f>
        <v>10</v>
      </c>
      <c r="C1020" s="89" t="str">
        <f>"S" &amp; WEEKNUM(Table14[[#This Row],[Date]])</f>
        <v>S42</v>
      </c>
    </row>
    <row r="1021" spans="1:3" x14ac:dyDescent="0.35">
      <c r="A1021" s="12">
        <v>46311</v>
      </c>
      <c r="B1021" s="89">
        <f>MONTH(Table14[[#This Row],[Date]])</f>
        <v>10</v>
      </c>
      <c r="C1021" s="89" t="str">
        <f>"S" &amp; WEEKNUM(Table14[[#This Row],[Date]])</f>
        <v>S42</v>
      </c>
    </row>
    <row r="1022" spans="1:3" x14ac:dyDescent="0.35">
      <c r="A1022" s="12">
        <v>46312</v>
      </c>
      <c r="B1022" s="89">
        <f>MONTH(Table14[[#This Row],[Date]])</f>
        <v>10</v>
      </c>
      <c r="C1022" s="89" t="str">
        <f>"S" &amp; WEEKNUM(Table14[[#This Row],[Date]])</f>
        <v>S42</v>
      </c>
    </row>
    <row r="1023" spans="1:3" x14ac:dyDescent="0.35">
      <c r="A1023" s="12">
        <v>46313</v>
      </c>
      <c r="B1023" s="89">
        <f>MONTH(Table14[[#This Row],[Date]])</f>
        <v>10</v>
      </c>
      <c r="C1023" s="89" t="str">
        <f>"S" &amp; WEEKNUM(Table14[[#This Row],[Date]])</f>
        <v>S43</v>
      </c>
    </row>
    <row r="1024" spans="1:3" x14ac:dyDescent="0.35">
      <c r="A1024" s="12">
        <v>46314</v>
      </c>
      <c r="B1024" s="89">
        <f>MONTH(Table14[[#This Row],[Date]])</f>
        <v>10</v>
      </c>
      <c r="C1024" s="89" t="str">
        <f>"S" &amp; WEEKNUM(Table14[[#This Row],[Date]])</f>
        <v>S43</v>
      </c>
    </row>
    <row r="1025" spans="1:3" x14ac:dyDescent="0.35">
      <c r="A1025" s="12">
        <v>46315</v>
      </c>
      <c r="B1025" s="89">
        <f>MONTH(Table14[[#This Row],[Date]])</f>
        <v>10</v>
      </c>
      <c r="C1025" s="89" t="str">
        <f>"S" &amp; WEEKNUM(Table14[[#This Row],[Date]])</f>
        <v>S43</v>
      </c>
    </row>
    <row r="1026" spans="1:3" x14ac:dyDescent="0.35">
      <c r="A1026" s="12">
        <v>46316</v>
      </c>
      <c r="B1026" s="89">
        <f>MONTH(Table14[[#This Row],[Date]])</f>
        <v>10</v>
      </c>
      <c r="C1026" s="89" t="str">
        <f>"S" &amp; WEEKNUM(Table14[[#This Row],[Date]])</f>
        <v>S43</v>
      </c>
    </row>
    <row r="1027" spans="1:3" x14ac:dyDescent="0.35">
      <c r="A1027" s="12">
        <v>46317</v>
      </c>
      <c r="B1027" s="89">
        <f>MONTH(Table14[[#This Row],[Date]])</f>
        <v>10</v>
      </c>
      <c r="C1027" s="89" t="str">
        <f>"S" &amp; WEEKNUM(Table14[[#This Row],[Date]])</f>
        <v>S43</v>
      </c>
    </row>
    <row r="1028" spans="1:3" x14ac:dyDescent="0.35">
      <c r="A1028" s="12">
        <v>46318</v>
      </c>
      <c r="B1028" s="89">
        <f>MONTH(Table14[[#This Row],[Date]])</f>
        <v>10</v>
      </c>
      <c r="C1028" s="89" t="str">
        <f>"S" &amp; WEEKNUM(Table14[[#This Row],[Date]])</f>
        <v>S43</v>
      </c>
    </row>
    <row r="1029" spans="1:3" x14ac:dyDescent="0.35">
      <c r="A1029" s="12">
        <v>46319</v>
      </c>
      <c r="B1029" s="89">
        <f>MONTH(Table14[[#This Row],[Date]])</f>
        <v>10</v>
      </c>
      <c r="C1029" s="89" t="str">
        <f>"S" &amp; WEEKNUM(Table14[[#This Row],[Date]])</f>
        <v>S43</v>
      </c>
    </row>
    <row r="1030" spans="1:3" x14ac:dyDescent="0.35">
      <c r="A1030" s="12">
        <v>46320</v>
      </c>
      <c r="B1030" s="89">
        <f>MONTH(Table14[[#This Row],[Date]])</f>
        <v>10</v>
      </c>
      <c r="C1030" s="89" t="str">
        <f>"S" &amp; WEEKNUM(Table14[[#This Row],[Date]])</f>
        <v>S44</v>
      </c>
    </row>
    <row r="1031" spans="1:3" x14ac:dyDescent="0.35">
      <c r="A1031" s="12">
        <v>46321</v>
      </c>
      <c r="B1031" s="89">
        <f>MONTH(Table14[[#This Row],[Date]])</f>
        <v>10</v>
      </c>
      <c r="C1031" s="89" t="str">
        <f>"S" &amp; WEEKNUM(Table14[[#This Row],[Date]])</f>
        <v>S44</v>
      </c>
    </row>
    <row r="1032" spans="1:3" x14ac:dyDescent="0.35">
      <c r="A1032" s="12">
        <v>46322</v>
      </c>
      <c r="B1032" s="89">
        <f>MONTH(Table14[[#This Row],[Date]])</f>
        <v>10</v>
      </c>
      <c r="C1032" s="89" t="str">
        <f>"S" &amp; WEEKNUM(Table14[[#This Row],[Date]])</f>
        <v>S44</v>
      </c>
    </row>
    <row r="1033" spans="1:3" x14ac:dyDescent="0.35">
      <c r="A1033" s="12">
        <v>46323</v>
      </c>
      <c r="B1033" s="89">
        <f>MONTH(Table14[[#This Row],[Date]])</f>
        <v>10</v>
      </c>
      <c r="C1033" s="89" t="str">
        <f>"S" &amp; WEEKNUM(Table14[[#This Row],[Date]])</f>
        <v>S44</v>
      </c>
    </row>
    <row r="1034" spans="1:3" x14ac:dyDescent="0.35">
      <c r="A1034" s="12">
        <v>46324</v>
      </c>
      <c r="B1034" s="89">
        <f>MONTH(Table14[[#This Row],[Date]])</f>
        <v>10</v>
      </c>
      <c r="C1034" s="89" t="str">
        <f>"S" &amp; WEEKNUM(Table14[[#This Row],[Date]])</f>
        <v>S44</v>
      </c>
    </row>
    <row r="1035" spans="1:3" x14ac:dyDescent="0.35">
      <c r="A1035" s="12">
        <v>46325</v>
      </c>
      <c r="B1035" s="89">
        <f>MONTH(Table14[[#This Row],[Date]])</f>
        <v>10</v>
      </c>
      <c r="C1035" s="89" t="str">
        <f>"S" &amp; WEEKNUM(Table14[[#This Row],[Date]])</f>
        <v>S44</v>
      </c>
    </row>
    <row r="1036" spans="1:3" x14ac:dyDescent="0.35">
      <c r="A1036" s="12">
        <v>46326</v>
      </c>
      <c r="B1036" s="89">
        <f>MONTH(Table14[[#This Row],[Date]])</f>
        <v>10</v>
      </c>
      <c r="C1036" s="89" t="str">
        <f>"S" &amp; WEEKNUM(Table14[[#This Row],[Date]])</f>
        <v>S44</v>
      </c>
    </row>
    <row r="1037" spans="1:3" x14ac:dyDescent="0.35">
      <c r="A1037" s="12">
        <v>46327</v>
      </c>
      <c r="B1037" s="89">
        <f>MONTH(Table14[[#This Row],[Date]])</f>
        <v>11</v>
      </c>
      <c r="C1037" s="89" t="str">
        <f>"S" &amp; WEEKNUM(Table14[[#This Row],[Date]])</f>
        <v>S45</v>
      </c>
    </row>
    <row r="1038" spans="1:3" x14ac:dyDescent="0.35">
      <c r="A1038" s="12">
        <v>46328</v>
      </c>
      <c r="B1038" s="89">
        <f>MONTH(Table14[[#This Row],[Date]])</f>
        <v>11</v>
      </c>
      <c r="C1038" s="89" t="str">
        <f>"S" &amp; WEEKNUM(Table14[[#This Row],[Date]])</f>
        <v>S45</v>
      </c>
    </row>
    <row r="1039" spans="1:3" x14ac:dyDescent="0.35">
      <c r="A1039" s="12">
        <v>46329</v>
      </c>
      <c r="B1039" s="89">
        <f>MONTH(Table14[[#This Row],[Date]])</f>
        <v>11</v>
      </c>
      <c r="C1039" s="89" t="str">
        <f>"S" &amp; WEEKNUM(Table14[[#This Row],[Date]])</f>
        <v>S45</v>
      </c>
    </row>
    <row r="1040" spans="1:3" x14ac:dyDescent="0.35">
      <c r="A1040" s="12">
        <v>46330</v>
      </c>
      <c r="B1040" s="89">
        <f>MONTH(Table14[[#This Row],[Date]])</f>
        <v>11</v>
      </c>
      <c r="C1040" s="89" t="str">
        <f>"S" &amp; WEEKNUM(Table14[[#This Row],[Date]])</f>
        <v>S45</v>
      </c>
    </row>
    <row r="1041" spans="1:3" x14ac:dyDescent="0.35">
      <c r="A1041" s="12">
        <v>46331</v>
      </c>
      <c r="B1041" s="89">
        <f>MONTH(Table14[[#This Row],[Date]])</f>
        <v>11</v>
      </c>
      <c r="C1041" s="89" t="str">
        <f>"S" &amp; WEEKNUM(Table14[[#This Row],[Date]])</f>
        <v>S45</v>
      </c>
    </row>
    <row r="1042" spans="1:3" x14ac:dyDescent="0.35">
      <c r="A1042" s="12">
        <v>46332</v>
      </c>
      <c r="B1042" s="89">
        <f>MONTH(Table14[[#This Row],[Date]])</f>
        <v>11</v>
      </c>
      <c r="C1042" s="89" t="str">
        <f>"S" &amp; WEEKNUM(Table14[[#This Row],[Date]])</f>
        <v>S45</v>
      </c>
    </row>
    <row r="1043" spans="1:3" x14ac:dyDescent="0.35">
      <c r="A1043" s="12">
        <v>46333</v>
      </c>
      <c r="B1043" s="89">
        <f>MONTH(Table14[[#This Row],[Date]])</f>
        <v>11</v>
      </c>
      <c r="C1043" s="89" t="str">
        <f>"S" &amp; WEEKNUM(Table14[[#This Row],[Date]])</f>
        <v>S45</v>
      </c>
    </row>
    <row r="1044" spans="1:3" x14ac:dyDescent="0.35">
      <c r="A1044" s="12">
        <v>46334</v>
      </c>
      <c r="B1044" s="89">
        <f>MONTH(Table14[[#This Row],[Date]])</f>
        <v>11</v>
      </c>
      <c r="C1044" s="89" t="str">
        <f>"S" &amp; WEEKNUM(Table14[[#This Row],[Date]])</f>
        <v>S46</v>
      </c>
    </row>
    <row r="1045" spans="1:3" x14ac:dyDescent="0.35">
      <c r="A1045" s="12">
        <v>46335</v>
      </c>
      <c r="B1045" s="89">
        <f>MONTH(Table14[[#This Row],[Date]])</f>
        <v>11</v>
      </c>
      <c r="C1045" s="89" t="str">
        <f>"S" &amp; WEEKNUM(Table14[[#This Row],[Date]])</f>
        <v>S46</v>
      </c>
    </row>
    <row r="1046" spans="1:3" x14ac:dyDescent="0.35">
      <c r="A1046" s="12">
        <v>46336</v>
      </c>
      <c r="B1046" s="89">
        <f>MONTH(Table14[[#This Row],[Date]])</f>
        <v>11</v>
      </c>
      <c r="C1046" s="89" t="str">
        <f>"S" &amp; WEEKNUM(Table14[[#This Row],[Date]])</f>
        <v>S46</v>
      </c>
    </row>
    <row r="1047" spans="1:3" x14ac:dyDescent="0.35">
      <c r="A1047" s="12">
        <v>46337</v>
      </c>
      <c r="B1047" s="89">
        <f>MONTH(Table14[[#This Row],[Date]])</f>
        <v>11</v>
      </c>
      <c r="C1047" s="89" t="str">
        <f>"S" &amp; WEEKNUM(Table14[[#This Row],[Date]])</f>
        <v>S46</v>
      </c>
    </row>
    <row r="1048" spans="1:3" x14ac:dyDescent="0.35">
      <c r="A1048" s="12">
        <v>46338</v>
      </c>
      <c r="B1048" s="89">
        <f>MONTH(Table14[[#This Row],[Date]])</f>
        <v>11</v>
      </c>
      <c r="C1048" s="89" t="str">
        <f>"S" &amp; WEEKNUM(Table14[[#This Row],[Date]])</f>
        <v>S46</v>
      </c>
    </row>
    <row r="1049" spans="1:3" x14ac:dyDescent="0.35">
      <c r="A1049" s="12">
        <v>46339</v>
      </c>
      <c r="B1049" s="89">
        <f>MONTH(Table14[[#This Row],[Date]])</f>
        <v>11</v>
      </c>
      <c r="C1049" s="89" t="str">
        <f>"S" &amp; WEEKNUM(Table14[[#This Row],[Date]])</f>
        <v>S46</v>
      </c>
    </row>
    <row r="1050" spans="1:3" x14ac:dyDescent="0.35">
      <c r="A1050" s="12">
        <v>46340</v>
      </c>
      <c r="B1050" s="89">
        <f>MONTH(Table14[[#This Row],[Date]])</f>
        <v>11</v>
      </c>
      <c r="C1050" s="89" t="str">
        <f>"S" &amp; WEEKNUM(Table14[[#This Row],[Date]])</f>
        <v>S46</v>
      </c>
    </row>
    <row r="1051" spans="1:3" x14ac:dyDescent="0.35">
      <c r="A1051" s="12">
        <v>46341</v>
      </c>
      <c r="B1051" s="89">
        <f>MONTH(Table14[[#This Row],[Date]])</f>
        <v>11</v>
      </c>
      <c r="C1051" s="89" t="str">
        <f>"S" &amp; WEEKNUM(Table14[[#This Row],[Date]])</f>
        <v>S47</v>
      </c>
    </row>
    <row r="1052" spans="1:3" x14ac:dyDescent="0.35">
      <c r="A1052" s="12">
        <v>46342</v>
      </c>
      <c r="B1052" s="89">
        <f>MONTH(Table14[[#This Row],[Date]])</f>
        <v>11</v>
      </c>
      <c r="C1052" s="89" t="str">
        <f>"S" &amp; WEEKNUM(Table14[[#This Row],[Date]])</f>
        <v>S47</v>
      </c>
    </row>
    <row r="1053" spans="1:3" x14ac:dyDescent="0.35">
      <c r="A1053" s="12">
        <v>46343</v>
      </c>
      <c r="B1053" s="89">
        <f>MONTH(Table14[[#This Row],[Date]])</f>
        <v>11</v>
      </c>
      <c r="C1053" s="89" t="str">
        <f>"S" &amp; WEEKNUM(Table14[[#This Row],[Date]])</f>
        <v>S47</v>
      </c>
    </row>
    <row r="1054" spans="1:3" x14ac:dyDescent="0.35">
      <c r="A1054" s="12">
        <v>46344</v>
      </c>
      <c r="B1054" s="89">
        <f>MONTH(Table14[[#This Row],[Date]])</f>
        <v>11</v>
      </c>
      <c r="C1054" s="89" t="str">
        <f>"S" &amp; WEEKNUM(Table14[[#This Row],[Date]])</f>
        <v>S47</v>
      </c>
    </row>
    <row r="1055" spans="1:3" x14ac:dyDescent="0.35">
      <c r="A1055" s="12">
        <v>46345</v>
      </c>
      <c r="B1055" s="89">
        <f>MONTH(Table14[[#This Row],[Date]])</f>
        <v>11</v>
      </c>
      <c r="C1055" s="89" t="str">
        <f>"S" &amp; WEEKNUM(Table14[[#This Row],[Date]])</f>
        <v>S47</v>
      </c>
    </row>
    <row r="1056" spans="1:3" x14ac:dyDescent="0.35">
      <c r="A1056" s="12">
        <v>46346</v>
      </c>
      <c r="B1056" s="89">
        <f>MONTH(Table14[[#This Row],[Date]])</f>
        <v>11</v>
      </c>
      <c r="C1056" s="89" t="str">
        <f>"S" &amp; WEEKNUM(Table14[[#This Row],[Date]])</f>
        <v>S47</v>
      </c>
    </row>
    <row r="1057" spans="1:3" x14ac:dyDescent="0.35">
      <c r="A1057" s="12">
        <v>46347</v>
      </c>
      <c r="B1057" s="89">
        <f>MONTH(Table14[[#This Row],[Date]])</f>
        <v>11</v>
      </c>
      <c r="C1057" s="89" t="str">
        <f>"S" &amp; WEEKNUM(Table14[[#This Row],[Date]])</f>
        <v>S47</v>
      </c>
    </row>
    <row r="1058" spans="1:3" x14ac:dyDescent="0.35">
      <c r="A1058" s="12">
        <v>46348</v>
      </c>
      <c r="B1058" s="89">
        <f>MONTH(Table14[[#This Row],[Date]])</f>
        <v>11</v>
      </c>
      <c r="C1058" s="89" t="str">
        <f>"S" &amp; WEEKNUM(Table14[[#This Row],[Date]])</f>
        <v>S48</v>
      </c>
    </row>
    <row r="1059" spans="1:3" x14ac:dyDescent="0.35">
      <c r="A1059" s="12">
        <v>46349</v>
      </c>
      <c r="B1059" s="89">
        <f>MONTH(Table14[[#This Row],[Date]])</f>
        <v>11</v>
      </c>
      <c r="C1059" s="89" t="str">
        <f>"S" &amp; WEEKNUM(Table14[[#This Row],[Date]])</f>
        <v>S48</v>
      </c>
    </row>
    <row r="1060" spans="1:3" x14ac:dyDescent="0.35">
      <c r="A1060" s="12">
        <v>46350</v>
      </c>
      <c r="B1060" s="89">
        <f>MONTH(Table14[[#This Row],[Date]])</f>
        <v>11</v>
      </c>
      <c r="C1060" s="89" t="str">
        <f>"S" &amp; WEEKNUM(Table14[[#This Row],[Date]])</f>
        <v>S48</v>
      </c>
    </row>
    <row r="1061" spans="1:3" x14ac:dyDescent="0.35">
      <c r="A1061" s="12">
        <v>46351</v>
      </c>
      <c r="B1061" s="89">
        <f>MONTH(Table14[[#This Row],[Date]])</f>
        <v>11</v>
      </c>
      <c r="C1061" s="89" t="str">
        <f>"S" &amp; WEEKNUM(Table14[[#This Row],[Date]])</f>
        <v>S48</v>
      </c>
    </row>
    <row r="1062" spans="1:3" x14ac:dyDescent="0.35">
      <c r="A1062" s="12">
        <v>46352</v>
      </c>
      <c r="B1062" s="89">
        <f>MONTH(Table14[[#This Row],[Date]])</f>
        <v>11</v>
      </c>
      <c r="C1062" s="89" t="str">
        <f>"S" &amp; WEEKNUM(Table14[[#This Row],[Date]])</f>
        <v>S48</v>
      </c>
    </row>
    <row r="1063" spans="1:3" x14ac:dyDescent="0.35">
      <c r="A1063" s="12">
        <v>46353</v>
      </c>
      <c r="B1063" s="89">
        <f>MONTH(Table14[[#This Row],[Date]])</f>
        <v>11</v>
      </c>
      <c r="C1063" s="89" t="str">
        <f>"S" &amp; WEEKNUM(Table14[[#This Row],[Date]])</f>
        <v>S48</v>
      </c>
    </row>
    <row r="1064" spans="1:3" x14ac:dyDescent="0.35">
      <c r="A1064" s="12">
        <v>46354</v>
      </c>
      <c r="B1064" s="89">
        <f>MONTH(Table14[[#This Row],[Date]])</f>
        <v>11</v>
      </c>
      <c r="C1064" s="89" t="str">
        <f>"S" &amp; WEEKNUM(Table14[[#This Row],[Date]])</f>
        <v>S48</v>
      </c>
    </row>
    <row r="1065" spans="1:3" x14ac:dyDescent="0.35">
      <c r="A1065" s="12">
        <v>46355</v>
      </c>
      <c r="B1065" s="89">
        <f>MONTH(Table14[[#This Row],[Date]])</f>
        <v>11</v>
      </c>
      <c r="C1065" s="89" t="str">
        <f>"S" &amp; WEEKNUM(Table14[[#This Row],[Date]])</f>
        <v>S49</v>
      </c>
    </row>
    <row r="1066" spans="1:3" x14ac:dyDescent="0.35">
      <c r="A1066" s="12">
        <v>46356</v>
      </c>
      <c r="B1066" s="89">
        <f>MONTH(Table14[[#This Row],[Date]])</f>
        <v>11</v>
      </c>
      <c r="C1066" s="89" t="str">
        <f>"S" &amp; WEEKNUM(Table14[[#This Row],[Date]])</f>
        <v>S49</v>
      </c>
    </row>
    <row r="1067" spans="1:3" x14ac:dyDescent="0.35">
      <c r="A1067" s="12">
        <v>46357</v>
      </c>
      <c r="B1067" s="89">
        <f>MONTH(Table14[[#This Row],[Date]])</f>
        <v>12</v>
      </c>
      <c r="C1067" s="89" t="str">
        <f>"S" &amp; WEEKNUM(Table14[[#This Row],[Date]])</f>
        <v>S49</v>
      </c>
    </row>
    <row r="1068" spans="1:3" x14ac:dyDescent="0.35">
      <c r="A1068" s="12">
        <v>46358</v>
      </c>
      <c r="B1068" s="89">
        <f>MONTH(Table14[[#This Row],[Date]])</f>
        <v>12</v>
      </c>
      <c r="C1068" s="89" t="str">
        <f>"S" &amp; WEEKNUM(Table14[[#This Row],[Date]])</f>
        <v>S49</v>
      </c>
    </row>
    <row r="1069" spans="1:3" x14ac:dyDescent="0.35">
      <c r="A1069" s="12">
        <v>46359</v>
      </c>
      <c r="B1069" s="89">
        <f>MONTH(Table14[[#This Row],[Date]])</f>
        <v>12</v>
      </c>
      <c r="C1069" s="89" t="str">
        <f>"S" &amp; WEEKNUM(Table14[[#This Row],[Date]])</f>
        <v>S49</v>
      </c>
    </row>
    <row r="1070" spans="1:3" x14ac:dyDescent="0.35">
      <c r="A1070" s="12">
        <v>46360</v>
      </c>
      <c r="B1070" s="89">
        <f>MONTH(Table14[[#This Row],[Date]])</f>
        <v>12</v>
      </c>
      <c r="C1070" s="89" t="str">
        <f>"S" &amp; WEEKNUM(Table14[[#This Row],[Date]])</f>
        <v>S49</v>
      </c>
    </row>
    <row r="1071" spans="1:3" x14ac:dyDescent="0.35">
      <c r="A1071" s="12">
        <v>46361</v>
      </c>
      <c r="B1071" s="89">
        <f>MONTH(Table14[[#This Row],[Date]])</f>
        <v>12</v>
      </c>
      <c r="C1071" s="89" t="str">
        <f>"S" &amp; WEEKNUM(Table14[[#This Row],[Date]])</f>
        <v>S49</v>
      </c>
    </row>
    <row r="1072" spans="1:3" x14ac:dyDescent="0.35">
      <c r="A1072" s="12">
        <v>46362</v>
      </c>
      <c r="B1072" s="89">
        <f>MONTH(Table14[[#This Row],[Date]])</f>
        <v>12</v>
      </c>
      <c r="C1072" s="89" t="str">
        <f>"S" &amp; WEEKNUM(Table14[[#This Row],[Date]])</f>
        <v>S50</v>
      </c>
    </row>
    <row r="1073" spans="1:3" x14ac:dyDescent="0.35">
      <c r="A1073" s="12">
        <v>46363</v>
      </c>
      <c r="B1073" s="89">
        <f>MONTH(Table14[[#This Row],[Date]])</f>
        <v>12</v>
      </c>
      <c r="C1073" s="89" t="str">
        <f>"S" &amp; WEEKNUM(Table14[[#This Row],[Date]])</f>
        <v>S50</v>
      </c>
    </row>
    <row r="1074" spans="1:3" x14ac:dyDescent="0.35">
      <c r="A1074" s="12">
        <v>46364</v>
      </c>
      <c r="B1074" s="89">
        <f>MONTH(Table14[[#This Row],[Date]])</f>
        <v>12</v>
      </c>
      <c r="C1074" s="89" t="str">
        <f>"S" &amp; WEEKNUM(Table14[[#This Row],[Date]])</f>
        <v>S50</v>
      </c>
    </row>
    <row r="1075" spans="1:3" x14ac:dyDescent="0.35">
      <c r="A1075" s="12">
        <v>46365</v>
      </c>
      <c r="B1075" s="89">
        <f>MONTH(Table14[[#This Row],[Date]])</f>
        <v>12</v>
      </c>
      <c r="C1075" s="89" t="str">
        <f>"S" &amp; WEEKNUM(Table14[[#This Row],[Date]])</f>
        <v>S50</v>
      </c>
    </row>
    <row r="1076" spans="1:3" x14ac:dyDescent="0.35">
      <c r="A1076" s="12">
        <v>46366</v>
      </c>
      <c r="B1076" s="89">
        <f>MONTH(Table14[[#This Row],[Date]])</f>
        <v>12</v>
      </c>
      <c r="C1076" s="89" t="str">
        <f>"S" &amp; WEEKNUM(Table14[[#This Row],[Date]])</f>
        <v>S50</v>
      </c>
    </row>
    <row r="1077" spans="1:3" x14ac:dyDescent="0.35">
      <c r="A1077" s="12">
        <v>46367</v>
      </c>
      <c r="B1077" s="89">
        <f>MONTH(Table14[[#This Row],[Date]])</f>
        <v>12</v>
      </c>
      <c r="C1077" s="89" t="str">
        <f>"S" &amp; WEEKNUM(Table14[[#This Row],[Date]])</f>
        <v>S50</v>
      </c>
    </row>
    <row r="1078" spans="1:3" x14ac:dyDescent="0.35">
      <c r="A1078" s="12">
        <v>46368</v>
      </c>
      <c r="B1078" s="89">
        <f>MONTH(Table14[[#This Row],[Date]])</f>
        <v>12</v>
      </c>
      <c r="C1078" s="89" t="str">
        <f>"S" &amp; WEEKNUM(Table14[[#This Row],[Date]])</f>
        <v>S50</v>
      </c>
    </row>
    <row r="1079" spans="1:3" x14ac:dyDescent="0.35">
      <c r="A1079" s="12">
        <v>46369</v>
      </c>
      <c r="B1079" s="89">
        <f>MONTH(Table14[[#This Row],[Date]])</f>
        <v>12</v>
      </c>
      <c r="C1079" s="89" t="str">
        <f>"S" &amp; WEEKNUM(Table14[[#This Row],[Date]])</f>
        <v>S51</v>
      </c>
    </row>
    <row r="1080" spans="1:3" x14ac:dyDescent="0.35">
      <c r="A1080" s="12">
        <v>46370</v>
      </c>
      <c r="B1080" s="89">
        <f>MONTH(Table14[[#This Row],[Date]])</f>
        <v>12</v>
      </c>
      <c r="C1080" s="89" t="str">
        <f>"S" &amp; WEEKNUM(Table14[[#This Row],[Date]])</f>
        <v>S51</v>
      </c>
    </row>
    <row r="1081" spans="1:3" x14ac:dyDescent="0.35">
      <c r="A1081" s="12">
        <v>46371</v>
      </c>
      <c r="B1081" s="89">
        <f>MONTH(Table14[[#This Row],[Date]])</f>
        <v>12</v>
      </c>
      <c r="C1081" s="89" t="str">
        <f>"S" &amp; WEEKNUM(Table14[[#This Row],[Date]])</f>
        <v>S51</v>
      </c>
    </row>
    <row r="1082" spans="1:3" x14ac:dyDescent="0.35">
      <c r="A1082" s="12">
        <v>46372</v>
      </c>
      <c r="B1082" s="89">
        <f>MONTH(Table14[[#This Row],[Date]])</f>
        <v>12</v>
      </c>
      <c r="C1082" s="89" t="str">
        <f>"S" &amp; WEEKNUM(Table14[[#This Row],[Date]])</f>
        <v>S51</v>
      </c>
    </row>
    <row r="1083" spans="1:3" x14ac:dyDescent="0.35">
      <c r="A1083" s="12">
        <v>46373</v>
      </c>
      <c r="B1083" s="89">
        <f>MONTH(Table14[[#This Row],[Date]])</f>
        <v>12</v>
      </c>
      <c r="C1083" s="89" t="str">
        <f>"S" &amp; WEEKNUM(Table14[[#This Row],[Date]])</f>
        <v>S51</v>
      </c>
    </row>
    <row r="1084" spans="1:3" x14ac:dyDescent="0.35">
      <c r="A1084" s="12">
        <v>46374</v>
      </c>
      <c r="B1084" s="89">
        <f>MONTH(Table14[[#This Row],[Date]])</f>
        <v>12</v>
      </c>
      <c r="C1084" s="89" t="str">
        <f>"S" &amp; WEEKNUM(Table14[[#This Row],[Date]])</f>
        <v>S51</v>
      </c>
    </row>
    <row r="1085" spans="1:3" x14ac:dyDescent="0.35">
      <c r="A1085" s="12">
        <v>46375</v>
      </c>
      <c r="B1085" s="89">
        <f>MONTH(Table14[[#This Row],[Date]])</f>
        <v>12</v>
      </c>
      <c r="C1085" s="89" t="str">
        <f>"S" &amp; WEEKNUM(Table14[[#This Row],[Date]])</f>
        <v>S51</v>
      </c>
    </row>
    <row r="1086" spans="1:3" x14ac:dyDescent="0.35">
      <c r="A1086" s="12">
        <v>46376</v>
      </c>
      <c r="B1086" s="89">
        <f>MONTH(Table14[[#This Row],[Date]])</f>
        <v>12</v>
      </c>
      <c r="C1086" s="89" t="str">
        <f>"S" &amp; WEEKNUM(Table14[[#This Row],[Date]])</f>
        <v>S52</v>
      </c>
    </row>
    <row r="1087" spans="1:3" x14ac:dyDescent="0.35">
      <c r="A1087" s="12">
        <v>46377</v>
      </c>
      <c r="B1087" s="89">
        <f>MONTH(Table14[[#This Row],[Date]])</f>
        <v>12</v>
      </c>
      <c r="C1087" s="89" t="str">
        <f>"S" &amp; WEEKNUM(Table14[[#This Row],[Date]])</f>
        <v>S52</v>
      </c>
    </row>
    <row r="1088" spans="1:3" x14ac:dyDescent="0.35">
      <c r="A1088" s="12">
        <v>46378</v>
      </c>
      <c r="B1088" s="89">
        <f>MONTH(Table14[[#This Row],[Date]])</f>
        <v>12</v>
      </c>
      <c r="C1088" s="89" t="str">
        <f>"S" &amp; WEEKNUM(Table14[[#This Row],[Date]])</f>
        <v>S52</v>
      </c>
    </row>
    <row r="1089" spans="1:3" x14ac:dyDescent="0.35">
      <c r="A1089" s="12">
        <v>46379</v>
      </c>
      <c r="B1089" s="89">
        <f>MONTH(Table14[[#This Row],[Date]])</f>
        <v>12</v>
      </c>
      <c r="C1089" s="89" t="str">
        <f>"S" &amp; WEEKNUM(Table14[[#This Row],[Date]])</f>
        <v>S52</v>
      </c>
    </row>
    <row r="1090" spans="1:3" x14ac:dyDescent="0.35">
      <c r="A1090" s="12">
        <v>46380</v>
      </c>
      <c r="B1090" s="89">
        <f>MONTH(Table14[[#This Row],[Date]])</f>
        <v>12</v>
      </c>
      <c r="C1090" s="89" t="str">
        <f>"S" &amp; WEEKNUM(Table14[[#This Row],[Date]])</f>
        <v>S52</v>
      </c>
    </row>
    <row r="1091" spans="1:3" x14ac:dyDescent="0.35">
      <c r="A1091" s="12">
        <v>46381</v>
      </c>
      <c r="B1091" s="89">
        <f>MONTH(Table14[[#This Row],[Date]])</f>
        <v>12</v>
      </c>
      <c r="C1091" s="89" t="str">
        <f>"S" &amp; WEEKNUM(Table14[[#This Row],[Date]])</f>
        <v>S52</v>
      </c>
    </row>
    <row r="1092" spans="1:3" x14ac:dyDescent="0.35">
      <c r="A1092" s="12">
        <v>46382</v>
      </c>
      <c r="B1092" s="89">
        <f>MONTH(Table14[[#This Row],[Date]])</f>
        <v>12</v>
      </c>
      <c r="C1092" s="89" t="str">
        <f>"S" &amp; WEEKNUM(Table14[[#This Row],[Date]])</f>
        <v>S52</v>
      </c>
    </row>
    <row r="1093" spans="1:3" x14ac:dyDescent="0.35">
      <c r="A1093" s="12">
        <v>46383</v>
      </c>
      <c r="B1093" s="89">
        <f>MONTH(Table14[[#This Row],[Date]])</f>
        <v>12</v>
      </c>
      <c r="C1093" s="89" t="str">
        <f>"S" &amp; WEEKNUM(Table14[[#This Row],[Date]])</f>
        <v>S53</v>
      </c>
    </row>
    <row r="1094" spans="1:3" x14ac:dyDescent="0.35">
      <c r="A1094" s="12">
        <v>46384</v>
      </c>
      <c r="B1094" s="89">
        <f>MONTH(Table14[[#This Row],[Date]])</f>
        <v>12</v>
      </c>
      <c r="C1094" s="89" t="str">
        <f>"S" &amp; WEEKNUM(Table14[[#This Row],[Date]])</f>
        <v>S53</v>
      </c>
    </row>
    <row r="1095" spans="1:3" x14ac:dyDescent="0.35">
      <c r="A1095" s="12">
        <v>46385</v>
      </c>
      <c r="B1095" s="89">
        <f>MONTH(Table14[[#This Row],[Date]])</f>
        <v>12</v>
      </c>
      <c r="C1095" s="89" t="str">
        <f>"S" &amp; WEEKNUM(Table14[[#This Row],[Date]])</f>
        <v>S53</v>
      </c>
    </row>
    <row r="1096" spans="1:3" x14ac:dyDescent="0.35">
      <c r="A1096" s="12">
        <v>46386</v>
      </c>
      <c r="B1096" s="89">
        <f>MONTH(Table14[[#This Row],[Date]])</f>
        <v>12</v>
      </c>
      <c r="C1096" s="89" t="str">
        <f>"S" &amp; WEEKNUM(Table14[[#This Row],[Date]])</f>
        <v>S53</v>
      </c>
    </row>
    <row r="1097" spans="1:3" x14ac:dyDescent="0.35">
      <c r="A1097" s="12">
        <v>46387</v>
      </c>
      <c r="B1097" s="89">
        <f>MONTH(Table14[[#This Row],[Date]])</f>
        <v>12</v>
      </c>
      <c r="C1097" s="89" t="str">
        <f>"S" &amp; WEEKNUM(Table14[[#This Row],[Date]])</f>
        <v>S53</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E283D-4122-4349-BDB5-6B3B31F3762D}">
  <sheetPr codeName="Sheet3"/>
  <dimension ref="A4:H59"/>
  <sheetViews>
    <sheetView view="pageLayout" zoomScale="84" zoomScaleNormal="100" zoomScalePageLayoutView="84" workbookViewId="0">
      <selection activeCell="E5" sqref="E5:E58"/>
    </sheetView>
  </sheetViews>
  <sheetFormatPr defaultRowHeight="14.5" x14ac:dyDescent="0.35"/>
  <cols>
    <col min="1" max="1" width="9.90625" customWidth="1"/>
    <col min="2" max="2" width="8.81640625" bestFit="1" customWidth="1"/>
    <col min="3" max="3" width="14.90625" customWidth="1"/>
    <col min="4" max="4" width="41" customWidth="1"/>
    <col min="5" max="5" width="15.26953125" bestFit="1" customWidth="1"/>
    <col min="6" max="6" width="16.08984375" bestFit="1" customWidth="1"/>
    <col min="7" max="7" width="16.26953125" customWidth="1"/>
  </cols>
  <sheetData>
    <row r="4" spans="1:8" ht="16" x14ac:dyDescent="0.4">
      <c r="A4" s="28" t="s">
        <v>31</v>
      </c>
      <c r="B4" s="28" t="s">
        <v>50</v>
      </c>
      <c r="C4" s="28" t="s">
        <v>32</v>
      </c>
      <c r="D4" s="29" t="s">
        <v>33</v>
      </c>
      <c r="E4" s="28" t="s">
        <v>34</v>
      </c>
      <c r="F4" s="30" t="s">
        <v>48</v>
      </c>
      <c r="G4" s="38" t="s">
        <v>52</v>
      </c>
      <c r="H4" s="38" t="s">
        <v>142</v>
      </c>
    </row>
    <row r="5" spans="1:8" ht="16" x14ac:dyDescent="0.4">
      <c r="A5" s="27">
        <v>45292</v>
      </c>
      <c r="B5" s="31">
        <v>1</v>
      </c>
      <c r="C5" s="32" t="s">
        <v>16</v>
      </c>
      <c r="D5" s="33"/>
      <c r="E5" s="32">
        <v>10000</v>
      </c>
      <c r="F5" s="33"/>
      <c r="G5" s="33" t="str" cm="1">
        <f t="array" ref="G5">_xlfn.IFS(revenuXYZ[[#This Row],[categorie]]="Salaire","Banque",revenuXYZ[[#This Row],[categorie]]="Don","Portefeuille",revenuXYZ[[#This Row],[categorie]]="Freelancing","Banque",revenuXYZ[[#This Row],[categorie]]="Autres","Portefeuille")</f>
        <v>Banque</v>
      </c>
      <c r="H5" s="33">
        <v>1</v>
      </c>
    </row>
    <row r="6" spans="1:8" ht="16" x14ac:dyDescent="0.4">
      <c r="A6" s="27">
        <v>45293</v>
      </c>
      <c r="B6" s="31">
        <v>1</v>
      </c>
      <c r="C6" s="32" t="s">
        <v>35</v>
      </c>
      <c r="D6" s="33"/>
      <c r="E6" s="32">
        <v>700</v>
      </c>
      <c r="F6" s="33"/>
      <c r="G6" s="33" t="str" cm="1">
        <f t="array" ref="G6">_xlfn.IFS(revenuXYZ[[#This Row],[categorie]]="Salaire","Banque",revenuXYZ[[#This Row],[categorie]]="Don","Portefeuille",revenuXYZ[[#This Row],[categorie]]="Freelancing","Banque",revenuXYZ[[#This Row],[categorie]]="Autres","Portefeuille")</f>
        <v>Portefeuille</v>
      </c>
      <c r="H6" s="33">
        <v>2</v>
      </c>
    </row>
    <row r="7" spans="1:8" ht="16" x14ac:dyDescent="0.4">
      <c r="A7" s="27">
        <v>45294</v>
      </c>
      <c r="B7" s="31">
        <v>1</v>
      </c>
      <c r="C7" s="32" t="s">
        <v>18</v>
      </c>
      <c r="D7" s="33"/>
      <c r="E7" s="32">
        <v>1000</v>
      </c>
      <c r="F7" s="33"/>
      <c r="G7" s="33" t="str" cm="1">
        <f t="array" ref="G7">_xlfn.IFS(revenuXYZ[[#This Row],[categorie]]="Salaire","Banque",revenuXYZ[[#This Row],[categorie]]="Don","Portefeuille",revenuXYZ[[#This Row],[categorie]]="Freelancing","Banque",revenuXYZ[[#This Row],[categorie]]="Autres","Portefeuille")</f>
        <v>Portefeuille</v>
      </c>
      <c r="H7" s="33">
        <v>3</v>
      </c>
    </row>
    <row r="8" spans="1:8" ht="16" x14ac:dyDescent="0.4">
      <c r="A8" s="27">
        <v>45295</v>
      </c>
      <c r="B8" s="31">
        <v>1</v>
      </c>
      <c r="C8" s="32" t="s">
        <v>17</v>
      </c>
      <c r="D8" s="33"/>
      <c r="E8" s="32">
        <v>1500</v>
      </c>
      <c r="F8" s="33"/>
      <c r="G8" s="33" t="str" cm="1">
        <f t="array" ref="G8">_xlfn.IFS(revenuXYZ[[#This Row],[categorie]]="Salaire","Banque",revenuXYZ[[#This Row],[categorie]]="Don","Portefeuille",revenuXYZ[[#This Row],[categorie]]="Freelancing","Banque",revenuXYZ[[#This Row],[categorie]]="Autres","Portefeuille")</f>
        <v>Banque</v>
      </c>
      <c r="H8" s="33">
        <v>4</v>
      </c>
    </row>
    <row r="9" spans="1:8" ht="16" x14ac:dyDescent="0.4">
      <c r="A9" s="27">
        <v>45296</v>
      </c>
      <c r="B9" s="31">
        <v>1</v>
      </c>
      <c r="C9" s="32" t="s">
        <v>17</v>
      </c>
      <c r="D9" s="33"/>
      <c r="E9" s="32">
        <v>400</v>
      </c>
      <c r="F9" s="33"/>
      <c r="G9" s="33" t="str" cm="1">
        <f t="array" ref="G9">_xlfn.IFS(revenuXYZ[[#This Row],[categorie]]="Salaire","Banque",revenuXYZ[[#This Row],[categorie]]="Don","Portefeuille",revenuXYZ[[#This Row],[categorie]]="Freelancing","Banque",revenuXYZ[[#This Row],[categorie]]="Autres","Portefeuille")</f>
        <v>Banque</v>
      </c>
      <c r="H9" s="33">
        <v>5</v>
      </c>
    </row>
    <row r="10" spans="1:8" ht="16" x14ac:dyDescent="0.4">
      <c r="A10" s="27">
        <v>45297</v>
      </c>
      <c r="B10" s="31">
        <v>1</v>
      </c>
      <c r="C10" s="32" t="s">
        <v>35</v>
      </c>
      <c r="D10" s="33"/>
      <c r="E10" s="32">
        <v>200</v>
      </c>
      <c r="F10" s="33"/>
      <c r="G10" s="33" t="str" cm="1">
        <f t="array" ref="G10">_xlfn.IFS(revenuXYZ[[#This Row],[categorie]]="Salaire","Banque",revenuXYZ[[#This Row],[categorie]]="Don","Portefeuille",revenuXYZ[[#This Row],[categorie]]="Freelancing","Banque",revenuXYZ[[#This Row],[categorie]]="Autres","Portefeuille")</f>
        <v>Portefeuille</v>
      </c>
      <c r="H10" s="33">
        <v>6</v>
      </c>
    </row>
    <row r="11" spans="1:8" ht="16" x14ac:dyDescent="0.4">
      <c r="A11" s="27">
        <v>45298</v>
      </c>
      <c r="B11" s="31">
        <v>1</v>
      </c>
      <c r="C11" s="32" t="s">
        <v>17</v>
      </c>
      <c r="D11" s="33"/>
      <c r="E11" s="32">
        <v>800</v>
      </c>
      <c r="F11" s="33"/>
      <c r="G11" s="33" t="str" cm="1">
        <f t="array" ref="G11">_xlfn.IFS(revenuXYZ[[#This Row],[categorie]]="Salaire","Banque",revenuXYZ[[#This Row],[categorie]]="Don","Portefeuille",revenuXYZ[[#This Row],[categorie]]="Freelancing","Banque",revenuXYZ[[#This Row],[categorie]]="Autres","Portefeuille")</f>
        <v>Banque</v>
      </c>
      <c r="H11" s="33">
        <v>7</v>
      </c>
    </row>
    <row r="12" spans="1:8" ht="16" x14ac:dyDescent="0.4">
      <c r="A12" s="27">
        <v>45323</v>
      </c>
      <c r="B12" s="31">
        <v>2</v>
      </c>
      <c r="C12" s="32" t="s">
        <v>16</v>
      </c>
      <c r="D12" s="33"/>
      <c r="E12" s="32">
        <v>10000</v>
      </c>
      <c r="F12" s="33"/>
      <c r="G12" s="33" t="str" cm="1">
        <f t="array" ref="G12">_xlfn.IFS(revenuXYZ[[#This Row],[categorie]]="Salaire","Banque",revenuXYZ[[#This Row],[categorie]]="Don","Portefeuille",revenuXYZ[[#This Row],[categorie]]="Freelancing","Banque",revenuXYZ[[#This Row],[categorie]]="Autres","Portefeuille")</f>
        <v>Banque</v>
      </c>
      <c r="H12" s="33">
        <v>8</v>
      </c>
    </row>
    <row r="13" spans="1:8" ht="16" x14ac:dyDescent="0.4">
      <c r="A13" s="27">
        <v>45324</v>
      </c>
      <c r="B13" s="31">
        <v>2</v>
      </c>
      <c r="C13" s="32" t="s">
        <v>17</v>
      </c>
      <c r="D13" s="33"/>
      <c r="E13" s="32">
        <v>1000</v>
      </c>
      <c r="F13" s="33"/>
      <c r="G13" s="33" t="str" cm="1">
        <f t="array" ref="G13">_xlfn.IFS(revenuXYZ[[#This Row],[categorie]]="Salaire","Banque",revenuXYZ[[#This Row],[categorie]]="Don","Portefeuille",revenuXYZ[[#This Row],[categorie]]="Freelancing","Banque",revenuXYZ[[#This Row],[categorie]]="Autres","Portefeuille")</f>
        <v>Banque</v>
      </c>
      <c r="H13" s="33">
        <v>9</v>
      </c>
    </row>
    <row r="14" spans="1:8" ht="16" x14ac:dyDescent="0.4">
      <c r="A14" s="27">
        <v>45325</v>
      </c>
      <c r="B14" s="31">
        <v>2</v>
      </c>
      <c r="C14" s="32" t="s">
        <v>17</v>
      </c>
      <c r="D14" s="33"/>
      <c r="E14" s="32">
        <v>400</v>
      </c>
      <c r="F14" s="33"/>
      <c r="G14" s="33" t="str" cm="1">
        <f t="array" ref="G14">_xlfn.IFS(revenuXYZ[[#This Row],[categorie]]="Salaire","Banque",revenuXYZ[[#This Row],[categorie]]="Don","Portefeuille",revenuXYZ[[#This Row],[categorie]]="Freelancing","Banque",revenuXYZ[[#This Row],[categorie]]="Autres","Portefeuille")</f>
        <v>Banque</v>
      </c>
      <c r="H14" s="33">
        <v>10</v>
      </c>
    </row>
    <row r="15" spans="1:8" ht="16" x14ac:dyDescent="0.4">
      <c r="A15" s="27">
        <v>45326</v>
      </c>
      <c r="B15" s="31">
        <v>2</v>
      </c>
      <c r="C15" s="32" t="s">
        <v>35</v>
      </c>
      <c r="D15" s="33"/>
      <c r="E15" s="32">
        <v>300</v>
      </c>
      <c r="F15" s="33"/>
      <c r="G15" s="33" t="str" cm="1">
        <f t="array" ref="G15">_xlfn.IFS(revenuXYZ[[#This Row],[categorie]]="Salaire","Banque",revenuXYZ[[#This Row],[categorie]]="Don","Portefeuille",revenuXYZ[[#This Row],[categorie]]="Freelancing","Banque",revenuXYZ[[#This Row],[categorie]]="Autres","Portefeuille")</f>
        <v>Portefeuille</v>
      </c>
      <c r="H15" s="33">
        <v>11</v>
      </c>
    </row>
    <row r="16" spans="1:8" ht="16" x14ac:dyDescent="0.4">
      <c r="A16" s="27">
        <v>45327</v>
      </c>
      <c r="B16" s="31">
        <v>2</v>
      </c>
      <c r="C16" s="32" t="s">
        <v>17</v>
      </c>
      <c r="D16" s="33"/>
      <c r="E16" s="32">
        <v>450</v>
      </c>
      <c r="F16" s="33"/>
      <c r="G16" s="33" t="str" cm="1">
        <f t="array" ref="G16">_xlfn.IFS(revenuXYZ[[#This Row],[categorie]]="Salaire","Banque",revenuXYZ[[#This Row],[categorie]]="Don","Portefeuille",revenuXYZ[[#This Row],[categorie]]="Freelancing","Banque",revenuXYZ[[#This Row],[categorie]]="Autres","Portefeuille")</f>
        <v>Banque</v>
      </c>
      <c r="H16" s="33">
        <v>12</v>
      </c>
    </row>
    <row r="17" spans="1:8" ht="16" x14ac:dyDescent="0.4">
      <c r="A17" s="27">
        <v>45352</v>
      </c>
      <c r="B17" s="31">
        <v>3</v>
      </c>
      <c r="C17" s="32" t="s">
        <v>16</v>
      </c>
      <c r="D17" s="33"/>
      <c r="E17" s="32">
        <v>10200</v>
      </c>
      <c r="F17" s="33"/>
      <c r="G17" s="33" t="str" cm="1">
        <f t="array" ref="G17">_xlfn.IFS(revenuXYZ[[#This Row],[categorie]]="Salaire","Banque",revenuXYZ[[#This Row],[categorie]]="Don","Portefeuille",revenuXYZ[[#This Row],[categorie]]="Freelancing","Banque",revenuXYZ[[#This Row],[categorie]]="Autres","Portefeuille")</f>
        <v>Banque</v>
      </c>
      <c r="H17" s="33">
        <v>13</v>
      </c>
    </row>
    <row r="18" spans="1:8" ht="16" x14ac:dyDescent="0.4">
      <c r="A18" s="27">
        <v>45353</v>
      </c>
      <c r="B18" s="31">
        <v>3</v>
      </c>
      <c r="C18" s="32" t="s">
        <v>17</v>
      </c>
      <c r="D18" s="33"/>
      <c r="E18" s="32">
        <v>1300</v>
      </c>
      <c r="F18" s="33"/>
      <c r="G18" s="33" t="str" cm="1">
        <f t="array" ref="G18">_xlfn.IFS(revenuXYZ[[#This Row],[categorie]]="Salaire","Banque",revenuXYZ[[#This Row],[categorie]]="Don","Portefeuille",revenuXYZ[[#This Row],[categorie]]="Freelancing","Banque",revenuXYZ[[#This Row],[categorie]]="Autres","Portefeuille")</f>
        <v>Banque</v>
      </c>
      <c r="H18" s="33">
        <v>14</v>
      </c>
    </row>
    <row r="19" spans="1:8" ht="16" x14ac:dyDescent="0.4">
      <c r="A19" s="27">
        <v>45354</v>
      </c>
      <c r="B19" s="31">
        <v>3</v>
      </c>
      <c r="C19" s="32" t="s">
        <v>17</v>
      </c>
      <c r="D19" s="33"/>
      <c r="E19" s="32">
        <v>1000</v>
      </c>
      <c r="F19" s="33"/>
      <c r="G19" s="33" t="str" cm="1">
        <f t="array" ref="G19">_xlfn.IFS(revenuXYZ[[#This Row],[categorie]]="Salaire","Banque",revenuXYZ[[#This Row],[categorie]]="Don","Portefeuille",revenuXYZ[[#This Row],[categorie]]="Freelancing","Banque",revenuXYZ[[#This Row],[categorie]]="Autres","Portefeuille")</f>
        <v>Banque</v>
      </c>
      <c r="H19" s="33">
        <v>15</v>
      </c>
    </row>
    <row r="20" spans="1:8" ht="16" x14ac:dyDescent="0.4">
      <c r="A20" s="27">
        <v>45383</v>
      </c>
      <c r="B20" s="31">
        <v>4</v>
      </c>
      <c r="C20" s="32" t="s">
        <v>16</v>
      </c>
      <c r="D20" s="33"/>
      <c r="E20" s="32">
        <v>10100</v>
      </c>
      <c r="F20" s="33"/>
      <c r="G20" s="33" t="str" cm="1">
        <f t="array" ref="G20">_xlfn.IFS(revenuXYZ[[#This Row],[categorie]]="Salaire","Banque",revenuXYZ[[#This Row],[categorie]]="Don","Portefeuille",revenuXYZ[[#This Row],[categorie]]="Freelancing","Banque",revenuXYZ[[#This Row],[categorie]]="Autres","Portefeuille")</f>
        <v>Banque</v>
      </c>
      <c r="H20" s="33">
        <v>16</v>
      </c>
    </row>
    <row r="21" spans="1:8" ht="16" x14ac:dyDescent="0.4">
      <c r="A21" s="27">
        <v>45404</v>
      </c>
      <c r="B21" s="31">
        <v>4</v>
      </c>
      <c r="C21" s="32" t="s">
        <v>35</v>
      </c>
      <c r="D21" s="33"/>
      <c r="E21" s="32">
        <v>550</v>
      </c>
      <c r="F21" s="33"/>
      <c r="G21" s="33" t="str" cm="1">
        <f t="array" ref="G21">_xlfn.IFS(revenuXYZ[[#This Row],[categorie]]="Salaire","Banque",revenuXYZ[[#This Row],[categorie]]="Don","Portefeuille",revenuXYZ[[#This Row],[categorie]]="Freelancing","Banque",revenuXYZ[[#This Row],[categorie]]="Autres","Portefeuille")</f>
        <v>Portefeuille</v>
      </c>
      <c r="H21" s="33">
        <v>17</v>
      </c>
    </row>
    <row r="22" spans="1:8" ht="16" x14ac:dyDescent="0.4">
      <c r="A22" s="27">
        <v>45431</v>
      </c>
      <c r="B22" s="31">
        <v>5</v>
      </c>
      <c r="C22" s="32" t="s">
        <v>17</v>
      </c>
      <c r="D22" s="33"/>
      <c r="E22" s="32">
        <v>100</v>
      </c>
      <c r="F22" s="33"/>
      <c r="G22" s="33" t="str" cm="1">
        <f t="array" ref="G22">_xlfn.IFS(revenuXYZ[[#This Row],[categorie]]="Salaire","Banque",revenuXYZ[[#This Row],[categorie]]="Don","Portefeuille",revenuXYZ[[#This Row],[categorie]]="Freelancing","Banque",revenuXYZ[[#This Row],[categorie]]="Autres","Portefeuille")</f>
        <v>Banque</v>
      </c>
      <c r="H22" s="33">
        <v>18</v>
      </c>
    </row>
    <row r="23" spans="1:8" ht="16" x14ac:dyDescent="0.4">
      <c r="A23" s="27">
        <v>45473</v>
      </c>
      <c r="B23" s="31">
        <v>6</v>
      </c>
      <c r="C23" s="32" t="s">
        <v>35</v>
      </c>
      <c r="D23" s="33"/>
      <c r="E23" s="32">
        <v>240</v>
      </c>
      <c r="F23" s="33"/>
      <c r="G23" s="33" t="str" cm="1">
        <f t="array" ref="G23">_xlfn.IFS(revenuXYZ[[#This Row],[categorie]]="Salaire","Banque",revenuXYZ[[#This Row],[categorie]]="Don","Portefeuille",revenuXYZ[[#This Row],[categorie]]="Freelancing","Banque",revenuXYZ[[#This Row],[categorie]]="Autres","Portefeuille")</f>
        <v>Portefeuille</v>
      </c>
      <c r="H23" s="33">
        <v>19</v>
      </c>
    </row>
    <row r="24" spans="1:8" ht="16" x14ac:dyDescent="0.4">
      <c r="A24" s="27">
        <v>45474</v>
      </c>
      <c r="B24" s="31">
        <v>7</v>
      </c>
      <c r="C24" s="32" t="s">
        <v>16</v>
      </c>
      <c r="D24" s="33"/>
      <c r="E24" s="32">
        <v>12500</v>
      </c>
      <c r="F24" s="33"/>
      <c r="G24" s="33" t="str" cm="1">
        <f t="array" ref="G24">_xlfn.IFS(revenuXYZ[[#This Row],[categorie]]="Salaire","Banque",revenuXYZ[[#This Row],[categorie]]="Don","Portefeuille",revenuXYZ[[#This Row],[categorie]]="Freelancing","Banque",revenuXYZ[[#This Row],[categorie]]="Autres","Portefeuille")</f>
        <v>Banque</v>
      </c>
      <c r="H24" s="33">
        <v>20</v>
      </c>
    </row>
    <row r="25" spans="1:8" ht="16" x14ac:dyDescent="0.4">
      <c r="A25" s="27">
        <v>45475</v>
      </c>
      <c r="B25" s="31">
        <v>7</v>
      </c>
      <c r="C25" s="32" t="s">
        <v>17</v>
      </c>
      <c r="D25" s="33"/>
      <c r="E25" s="32">
        <v>1350</v>
      </c>
      <c r="F25" s="33"/>
      <c r="G25" s="33" t="str" cm="1">
        <f t="array" ref="G25">_xlfn.IFS(revenuXYZ[[#This Row],[categorie]]="Salaire","Banque",revenuXYZ[[#This Row],[categorie]]="Don","Portefeuille",revenuXYZ[[#This Row],[categorie]]="Freelancing","Banque",revenuXYZ[[#This Row],[categorie]]="Autres","Portefeuille")</f>
        <v>Banque</v>
      </c>
      <c r="H25" s="33">
        <v>21</v>
      </c>
    </row>
    <row r="26" spans="1:8" ht="16" x14ac:dyDescent="0.4">
      <c r="A26" s="27">
        <v>45488</v>
      </c>
      <c r="B26" s="31">
        <v>7</v>
      </c>
      <c r="C26" s="32" t="s">
        <v>17</v>
      </c>
      <c r="D26" s="33"/>
      <c r="E26" s="32">
        <v>1000</v>
      </c>
      <c r="F26" s="33"/>
      <c r="G26" s="33" t="str" cm="1">
        <f t="array" ref="G26">_xlfn.IFS(revenuXYZ[[#This Row],[categorie]]="Salaire","Banque",revenuXYZ[[#This Row],[categorie]]="Don","Portefeuille",revenuXYZ[[#This Row],[categorie]]="Freelancing","Banque",revenuXYZ[[#This Row],[categorie]]="Autres","Portefeuille")</f>
        <v>Banque</v>
      </c>
      <c r="H26" s="33">
        <v>22</v>
      </c>
    </row>
    <row r="27" spans="1:8" ht="16" x14ac:dyDescent="0.4">
      <c r="A27" s="27">
        <v>45489</v>
      </c>
      <c r="B27" s="31">
        <v>7</v>
      </c>
      <c r="C27" s="32" t="s">
        <v>17</v>
      </c>
      <c r="D27" s="33"/>
      <c r="E27" s="32">
        <v>1200</v>
      </c>
      <c r="F27" s="33"/>
      <c r="G27" s="33" t="str" cm="1">
        <f t="array" ref="G27">_xlfn.IFS(revenuXYZ[[#This Row],[categorie]]="Salaire","Banque",revenuXYZ[[#This Row],[categorie]]="Don","Portefeuille",revenuXYZ[[#This Row],[categorie]]="Freelancing","Banque",revenuXYZ[[#This Row],[categorie]]="Autres","Portefeuille")</f>
        <v>Banque</v>
      </c>
      <c r="H27" s="33">
        <v>23</v>
      </c>
    </row>
    <row r="28" spans="1:8" ht="16" x14ac:dyDescent="0.4">
      <c r="A28" s="27">
        <v>45490</v>
      </c>
      <c r="B28" s="31">
        <v>7</v>
      </c>
      <c r="C28" s="32" t="s">
        <v>35</v>
      </c>
      <c r="D28" s="33"/>
      <c r="E28" s="32">
        <v>430</v>
      </c>
      <c r="F28" s="33"/>
      <c r="G28" s="33" t="str" cm="1">
        <f t="array" ref="G28">_xlfn.IFS(revenuXYZ[[#This Row],[categorie]]="Salaire","Banque",revenuXYZ[[#This Row],[categorie]]="Don","Portefeuille",revenuXYZ[[#This Row],[categorie]]="Freelancing","Banque",revenuXYZ[[#This Row],[categorie]]="Autres","Portefeuille")</f>
        <v>Portefeuille</v>
      </c>
      <c r="H28" s="33">
        <v>24</v>
      </c>
    </row>
    <row r="29" spans="1:8" ht="16" x14ac:dyDescent="0.4">
      <c r="A29" s="27">
        <v>45483</v>
      </c>
      <c r="B29" s="31">
        <v>7</v>
      </c>
      <c r="C29" s="32" t="s">
        <v>17</v>
      </c>
      <c r="D29" s="33"/>
      <c r="E29" s="32">
        <v>2000</v>
      </c>
      <c r="F29" s="33"/>
      <c r="G29" s="33" t="str" cm="1">
        <f t="array" ref="G29">_xlfn.IFS(revenuXYZ[[#This Row],[categorie]]="Salaire","Banque",revenuXYZ[[#This Row],[categorie]]="Don","Portefeuille",revenuXYZ[[#This Row],[categorie]]="Freelancing","Banque",revenuXYZ[[#This Row],[categorie]]="Autres","Portefeuille")</f>
        <v>Banque</v>
      </c>
      <c r="H29" s="33">
        <v>25</v>
      </c>
    </row>
    <row r="30" spans="1:8" ht="16" x14ac:dyDescent="0.4">
      <c r="A30" s="27">
        <v>45484</v>
      </c>
      <c r="B30" s="31">
        <v>7</v>
      </c>
      <c r="C30" s="32" t="s">
        <v>35</v>
      </c>
      <c r="D30" s="33" t="s">
        <v>57</v>
      </c>
      <c r="E30" s="32">
        <v>230</v>
      </c>
      <c r="F30" s="33"/>
      <c r="G30" s="33" t="str" cm="1">
        <f t="array" ref="G30">_xlfn.IFS(revenuXYZ[[#This Row],[categorie]]="Salaire","Banque",revenuXYZ[[#This Row],[categorie]]="Don","Portefeuille",revenuXYZ[[#This Row],[categorie]]="Freelancing","Banque",revenuXYZ[[#This Row],[categorie]]="Autres","Portefeuille")</f>
        <v>Portefeuille</v>
      </c>
      <c r="H30" s="33">
        <v>26</v>
      </c>
    </row>
    <row r="31" spans="1:8" ht="16" x14ac:dyDescent="0.4">
      <c r="A31" s="27">
        <v>45326</v>
      </c>
      <c r="B31" s="31">
        <v>2</v>
      </c>
      <c r="C31" s="32" t="s">
        <v>35</v>
      </c>
      <c r="D31" s="33"/>
      <c r="E31" s="32">
        <v>344</v>
      </c>
      <c r="F31" s="33"/>
      <c r="G31" s="33" t="str" cm="1">
        <f t="array" ref="G31">_xlfn.IFS(revenuXYZ[[#This Row],[categorie]]="Salaire","Banque",revenuXYZ[[#This Row],[categorie]]="Don","Portefeuille",revenuXYZ[[#This Row],[categorie]]="Freelancing","Banque",revenuXYZ[[#This Row],[categorie]]="Autres","Portefeuille")</f>
        <v>Portefeuille</v>
      </c>
      <c r="H31" s="33">
        <v>27</v>
      </c>
    </row>
    <row r="32" spans="1:8" ht="16" x14ac:dyDescent="0.4">
      <c r="A32" s="27">
        <v>45483</v>
      </c>
      <c r="B32" s="31">
        <v>7</v>
      </c>
      <c r="C32" s="32" t="s">
        <v>16</v>
      </c>
      <c r="D32" s="33"/>
      <c r="E32" s="32">
        <v>2000</v>
      </c>
      <c r="F32" s="33"/>
      <c r="G32" s="33" t="str" cm="1">
        <f t="array" ref="G32">_xlfn.IFS(revenuXYZ[[#This Row],[categorie]]="Salaire","Banque",revenuXYZ[[#This Row],[categorie]]="Don","Portefeuille",revenuXYZ[[#This Row],[categorie]]="Freelancing","Banque",revenuXYZ[[#This Row],[categorie]]="Autres","Portefeuille")</f>
        <v>Banque</v>
      </c>
      <c r="H32" s="33">
        <v>28</v>
      </c>
    </row>
    <row r="33" spans="1:8" ht="16" x14ac:dyDescent="0.4">
      <c r="A33" s="27">
        <v>45483</v>
      </c>
      <c r="B33" s="31">
        <v>7</v>
      </c>
      <c r="C33" s="32" t="s">
        <v>17</v>
      </c>
      <c r="D33" s="33" t="s">
        <v>58</v>
      </c>
      <c r="E33" s="32">
        <v>3211</v>
      </c>
      <c r="F33" s="33"/>
      <c r="G33" s="33" t="str" cm="1">
        <f t="array" ref="G33">_xlfn.IFS(revenuXYZ[[#This Row],[categorie]]="Salaire","Banque",revenuXYZ[[#This Row],[categorie]]="Don","Portefeuille",revenuXYZ[[#This Row],[categorie]]="Freelancing","Banque",revenuXYZ[[#This Row],[categorie]]="Autres","Portefeuille")</f>
        <v>Banque</v>
      </c>
      <c r="H33" s="33">
        <v>29</v>
      </c>
    </row>
    <row r="34" spans="1:8" ht="16" x14ac:dyDescent="0.4">
      <c r="A34" s="27">
        <v>45483</v>
      </c>
      <c r="B34" s="31">
        <v>7</v>
      </c>
      <c r="C34" s="32" t="s">
        <v>16</v>
      </c>
      <c r="D34" s="33" t="s">
        <v>59</v>
      </c>
      <c r="E34" s="32">
        <v>10000</v>
      </c>
      <c r="F34" s="33"/>
      <c r="G34" s="33" t="str" cm="1">
        <f t="array" ref="G34">_xlfn.IFS(revenuXYZ[[#This Row],[categorie]]="Salaire","Banque",revenuXYZ[[#This Row],[categorie]]="Don","Portefeuille",revenuXYZ[[#This Row],[categorie]]="Freelancing","Banque",revenuXYZ[[#This Row],[categorie]]="Autres","Portefeuille")</f>
        <v>Banque</v>
      </c>
      <c r="H34" s="33">
        <v>30</v>
      </c>
    </row>
    <row r="35" spans="1:8" ht="16" x14ac:dyDescent="0.4">
      <c r="A35" s="27">
        <v>45575</v>
      </c>
      <c r="B35" s="31">
        <v>10</v>
      </c>
      <c r="C35" s="32" t="s">
        <v>35</v>
      </c>
      <c r="D35" s="33" t="s">
        <v>60</v>
      </c>
      <c r="E35" s="32">
        <v>120</v>
      </c>
      <c r="F35" s="33"/>
      <c r="G35" s="33" t="str" cm="1">
        <f t="array" ref="G35">_xlfn.IFS(revenuXYZ[[#This Row],[categorie]]="Salaire","Banque",revenuXYZ[[#This Row],[categorie]]="Don","Portefeuille",revenuXYZ[[#This Row],[categorie]]="Freelancing","Banque",revenuXYZ[[#This Row],[categorie]]="Autres","Portefeuille")</f>
        <v>Portefeuille</v>
      </c>
      <c r="H35" s="33">
        <v>31</v>
      </c>
    </row>
    <row r="36" spans="1:8" ht="16" x14ac:dyDescent="0.4">
      <c r="A36" s="27">
        <v>45484</v>
      </c>
      <c r="B36" s="31">
        <v>7</v>
      </c>
      <c r="C36" s="32" t="s">
        <v>17</v>
      </c>
      <c r="D36" s="33" t="s">
        <v>17</v>
      </c>
      <c r="E36" s="32">
        <v>2000</v>
      </c>
      <c r="F36" s="33"/>
      <c r="G36" s="33" t="str" cm="1">
        <f t="array" ref="G36">_xlfn.IFS(revenuXYZ[[#This Row],[categorie]]="Salaire","Banque",revenuXYZ[[#This Row],[categorie]]="Don","Portefeuille",revenuXYZ[[#This Row],[categorie]]="Freelancing","Banque",revenuXYZ[[#This Row],[categorie]]="Autres","Portefeuille")</f>
        <v>Banque</v>
      </c>
      <c r="H36" s="33">
        <v>32</v>
      </c>
    </row>
    <row r="37" spans="1:8" ht="16" x14ac:dyDescent="0.4">
      <c r="A37" s="27">
        <v>45573</v>
      </c>
      <c r="B37" s="31">
        <v>10</v>
      </c>
      <c r="C37" s="32" t="s">
        <v>35</v>
      </c>
      <c r="D37" s="33" t="s">
        <v>61</v>
      </c>
      <c r="E37" s="32">
        <v>3200</v>
      </c>
      <c r="F37" s="33"/>
      <c r="G37" s="33" t="str" cm="1">
        <f t="array" ref="G37">_xlfn.IFS(revenuXYZ[[#This Row],[categorie]]="Salaire","Banque",revenuXYZ[[#This Row],[categorie]]="Don","Portefeuille",revenuXYZ[[#This Row],[categorie]]="Freelancing","Banque",revenuXYZ[[#This Row],[categorie]]="Autres","Portefeuille")</f>
        <v>Portefeuille</v>
      </c>
      <c r="H37" s="33">
        <v>33</v>
      </c>
    </row>
    <row r="38" spans="1:8" ht="16" x14ac:dyDescent="0.4">
      <c r="A38" s="27">
        <v>45573</v>
      </c>
      <c r="B38" s="31">
        <v>10</v>
      </c>
      <c r="C38" s="32" t="s">
        <v>35</v>
      </c>
      <c r="D38" s="33" t="s">
        <v>62</v>
      </c>
      <c r="E38" s="32">
        <v>320</v>
      </c>
      <c r="F38" s="33"/>
      <c r="G38" s="33" t="str" cm="1">
        <f t="array" ref="G38">_xlfn.IFS(revenuXYZ[[#This Row],[categorie]]="Salaire","Banque",revenuXYZ[[#This Row],[categorie]]="Don","Portefeuille",revenuXYZ[[#This Row],[categorie]]="Freelancing","Banque",revenuXYZ[[#This Row],[categorie]]="Autres","Portefeuille")</f>
        <v>Portefeuille</v>
      </c>
      <c r="H38" s="33">
        <v>34</v>
      </c>
    </row>
    <row r="39" spans="1:8" ht="16" x14ac:dyDescent="0.4">
      <c r="A39" s="27">
        <v>45546</v>
      </c>
      <c r="B39" s="31">
        <v>9</v>
      </c>
      <c r="C39" s="32" t="s">
        <v>16</v>
      </c>
      <c r="D39" s="33" t="s">
        <v>63</v>
      </c>
      <c r="E39" s="32">
        <v>13000</v>
      </c>
      <c r="F39" s="33">
        <v>780000</v>
      </c>
      <c r="G39" s="33" t="str" cm="1">
        <f t="array" ref="G39">_xlfn.IFS(revenuXYZ[[#This Row],[categorie]]="Salaire","Banque",revenuXYZ[[#This Row],[categorie]]="Don","Portefeuille",revenuXYZ[[#This Row],[categorie]]="Freelancing","Banque",revenuXYZ[[#This Row],[categorie]]="Autres","Portefeuille")</f>
        <v>Banque</v>
      </c>
      <c r="H39" s="33">
        <v>35</v>
      </c>
    </row>
    <row r="40" spans="1:8" ht="16" x14ac:dyDescent="0.4">
      <c r="A40" s="27">
        <v>45637</v>
      </c>
      <c r="B40" s="31">
        <v>12</v>
      </c>
      <c r="C40" s="32" t="s">
        <v>16</v>
      </c>
      <c r="D40" s="33" t="s">
        <v>64</v>
      </c>
      <c r="E40" s="32">
        <v>14000</v>
      </c>
      <c r="F40" s="33">
        <v>840000</v>
      </c>
      <c r="G40" s="33" t="str" cm="1">
        <f t="array" ref="G40">_xlfn.IFS(revenuXYZ[[#This Row],[categorie]]="Salaire","Banque",revenuXYZ[[#This Row],[categorie]]="Don","Portefeuille",revenuXYZ[[#This Row],[categorie]]="Freelancing","Banque",revenuXYZ[[#This Row],[categorie]]="Autres","Portefeuille")</f>
        <v>Banque</v>
      </c>
      <c r="H40" s="33">
        <v>36</v>
      </c>
    </row>
    <row r="41" spans="1:8" ht="16" x14ac:dyDescent="0.4">
      <c r="A41" s="27">
        <v>45454</v>
      </c>
      <c r="B41" s="31">
        <v>6</v>
      </c>
      <c r="C41" s="32" t="s">
        <v>17</v>
      </c>
      <c r="D41" s="33" t="s">
        <v>65</v>
      </c>
      <c r="E41" s="32">
        <v>1000</v>
      </c>
      <c r="F41" s="33">
        <v>60000</v>
      </c>
      <c r="G41" s="33" t="str" cm="1">
        <f t="array" ref="G41">_xlfn.IFS(revenuXYZ[[#This Row],[categorie]]="Salaire","Banque",revenuXYZ[[#This Row],[categorie]]="Don","Portefeuille",revenuXYZ[[#This Row],[categorie]]="Freelancing","Banque",revenuXYZ[[#This Row],[categorie]]="Autres","Portefeuille")</f>
        <v>Banque</v>
      </c>
      <c r="H41" s="33">
        <v>37</v>
      </c>
    </row>
    <row r="42" spans="1:8" ht="16" x14ac:dyDescent="0.4">
      <c r="A42" s="27">
        <v>45484</v>
      </c>
      <c r="B42" s="31">
        <v>7</v>
      </c>
      <c r="C42" s="32" t="s">
        <v>16</v>
      </c>
      <c r="D42" s="33" t="s">
        <v>66</v>
      </c>
      <c r="E42" s="32">
        <v>55</v>
      </c>
      <c r="F42" s="33">
        <v>3300</v>
      </c>
      <c r="G42" s="33" t="str" cm="1">
        <f t="array" ref="G42">_xlfn.IFS(revenuXYZ[[#This Row],[categorie]]="Salaire","Banque",revenuXYZ[[#This Row],[categorie]]="Don","Portefeuille",revenuXYZ[[#This Row],[categorie]]="Freelancing","Banque",revenuXYZ[[#This Row],[categorie]]="Autres","Portefeuille")</f>
        <v>Banque</v>
      </c>
      <c r="H42" s="33">
        <v>38</v>
      </c>
    </row>
    <row r="43" spans="1:8" ht="16" x14ac:dyDescent="0.4">
      <c r="A43" s="27">
        <v>45484</v>
      </c>
      <c r="B43" s="31">
        <v>7</v>
      </c>
      <c r="C43" s="32" t="s">
        <v>16</v>
      </c>
      <c r="D43" s="33" t="s">
        <v>67</v>
      </c>
      <c r="E43" s="32">
        <v>66</v>
      </c>
      <c r="F43" s="33">
        <v>3960</v>
      </c>
      <c r="G43" s="33" t="str" cm="1">
        <f t="array" ref="G43">_xlfn.IFS(revenuXYZ[[#This Row],[categorie]]="Salaire","Banque",revenuXYZ[[#This Row],[categorie]]="Don","Portefeuille",revenuXYZ[[#This Row],[categorie]]="Freelancing","Banque",revenuXYZ[[#This Row],[categorie]]="Autres","Portefeuille")</f>
        <v>Banque</v>
      </c>
      <c r="H43" s="33">
        <v>39</v>
      </c>
    </row>
    <row r="44" spans="1:8" ht="16" x14ac:dyDescent="0.4">
      <c r="A44" s="27">
        <v>45505</v>
      </c>
      <c r="B44" s="31">
        <v>8</v>
      </c>
      <c r="C44" s="32" t="s">
        <v>35</v>
      </c>
      <c r="D44" s="33" t="s">
        <v>68</v>
      </c>
      <c r="E44" s="32">
        <v>200</v>
      </c>
      <c r="F44" s="33">
        <v>131191.4</v>
      </c>
      <c r="G44" s="33" t="str" cm="1">
        <f t="array" ref="G44">_xlfn.IFS(revenuXYZ[[#This Row],[categorie]]="Salaire","Banque",revenuXYZ[[#This Row],[categorie]]="Don","Portefeuille",revenuXYZ[[#This Row],[categorie]]="Freelancing","Banque",revenuXYZ[[#This Row],[categorie]]="Autres","Portefeuille")</f>
        <v>Portefeuille</v>
      </c>
      <c r="H44" s="33">
        <v>40</v>
      </c>
    </row>
    <row r="45" spans="1:8" ht="16" x14ac:dyDescent="0.4">
      <c r="A45" s="27">
        <v>45510</v>
      </c>
      <c r="B45" s="31">
        <v>8</v>
      </c>
      <c r="C45" s="32" t="s">
        <v>35</v>
      </c>
      <c r="D45" s="33" t="s">
        <v>69</v>
      </c>
      <c r="E45" s="32">
        <v>200</v>
      </c>
      <c r="F45" s="33">
        <v>131191.4</v>
      </c>
      <c r="G45" s="33" t="str" cm="1">
        <f t="array" ref="G45">_xlfn.IFS(revenuXYZ[[#This Row],[categorie]]="Salaire","Banque",revenuXYZ[[#This Row],[categorie]]="Don","Portefeuille",revenuXYZ[[#This Row],[categorie]]="Freelancing","Banque",revenuXYZ[[#This Row],[categorie]]="Autres","Portefeuille")</f>
        <v>Portefeuille</v>
      </c>
      <c r="H45" s="33">
        <v>41</v>
      </c>
    </row>
    <row r="46" spans="1:8" ht="16" x14ac:dyDescent="0.4">
      <c r="A46" s="27">
        <v>45510</v>
      </c>
      <c r="B46" s="31">
        <v>8</v>
      </c>
      <c r="C46" s="32" t="s">
        <v>35</v>
      </c>
      <c r="D46" s="33"/>
      <c r="E46" s="32">
        <v>200</v>
      </c>
      <c r="F46" s="33">
        <v>131191.4</v>
      </c>
      <c r="G46" s="33" t="str" cm="1">
        <f t="array" ref="G46">_xlfn.IFS(revenuXYZ[[#This Row],[categorie]]="Salaire","Banque",revenuXYZ[[#This Row],[categorie]]="Don","Portefeuille",revenuXYZ[[#This Row],[categorie]]="Freelancing","Banque",revenuXYZ[[#This Row],[categorie]]="Autres","Portefeuille")</f>
        <v>Portefeuille</v>
      </c>
      <c r="H46" s="33">
        <v>42</v>
      </c>
    </row>
    <row r="47" spans="1:8" ht="16" x14ac:dyDescent="0.4">
      <c r="A47" s="27">
        <v>45475</v>
      </c>
      <c r="B47" s="31">
        <v>7</v>
      </c>
      <c r="C47" s="32" t="s">
        <v>35</v>
      </c>
      <c r="D47" s="33" t="s">
        <v>70</v>
      </c>
      <c r="E47" s="32">
        <v>23</v>
      </c>
      <c r="F47" s="33">
        <v>15087.011</v>
      </c>
      <c r="G47" s="33" t="str" cm="1">
        <f t="array" ref="G47">_xlfn.IFS(revenuXYZ[[#This Row],[categorie]]="Salaire","Banque",revenuXYZ[[#This Row],[categorie]]="Don","Portefeuille",revenuXYZ[[#This Row],[categorie]]="Freelancing","Banque",revenuXYZ[[#This Row],[categorie]]="Autres","Portefeuille")</f>
        <v>Portefeuille</v>
      </c>
      <c r="H47" s="33">
        <v>43</v>
      </c>
    </row>
    <row r="48" spans="1:8" ht="16" x14ac:dyDescent="0.4">
      <c r="A48" s="27">
        <v>45353</v>
      </c>
      <c r="B48" s="31">
        <v>3</v>
      </c>
      <c r="C48" s="32" t="s">
        <v>35</v>
      </c>
      <c r="D48" s="33" t="s">
        <v>71</v>
      </c>
      <c r="E48" s="32">
        <v>200</v>
      </c>
      <c r="F48" s="33">
        <v>131191.4</v>
      </c>
      <c r="G48" s="33" t="str" cm="1">
        <f t="array" ref="G48">_xlfn.IFS(revenuXYZ[[#This Row],[categorie]]="Salaire","Banque",revenuXYZ[[#This Row],[categorie]]="Don","Portefeuille",revenuXYZ[[#This Row],[categorie]]="Freelancing","Banque",revenuXYZ[[#This Row],[categorie]]="Autres","Portefeuille")</f>
        <v>Portefeuille</v>
      </c>
      <c r="H48" s="33">
        <v>44</v>
      </c>
    </row>
    <row r="49" spans="1:8" ht="16" x14ac:dyDescent="0.4">
      <c r="A49" s="27">
        <v>45506</v>
      </c>
      <c r="B49" s="31">
        <v>8</v>
      </c>
      <c r="C49" s="32" t="s">
        <v>35</v>
      </c>
      <c r="D49" s="33" t="s">
        <v>72</v>
      </c>
      <c r="E49" s="32">
        <v>200</v>
      </c>
      <c r="F49" s="33">
        <v>131191.4</v>
      </c>
      <c r="G49" s="33" t="str" cm="1">
        <f t="array" ref="G49">_xlfn.IFS(revenuXYZ[[#This Row],[categorie]]="Salaire","Banque",revenuXYZ[[#This Row],[categorie]]="Don","Portefeuille",revenuXYZ[[#This Row],[categorie]]="Freelancing","Banque",revenuXYZ[[#This Row],[categorie]]="Autres","Portefeuille")</f>
        <v>Portefeuille</v>
      </c>
      <c r="H49" s="33">
        <v>45</v>
      </c>
    </row>
    <row r="50" spans="1:8" ht="16" x14ac:dyDescent="0.4">
      <c r="A50" s="27">
        <v>45511</v>
      </c>
      <c r="B50" s="31">
        <v>8</v>
      </c>
      <c r="C50" s="32" t="s">
        <v>35</v>
      </c>
      <c r="D50" s="33" t="s">
        <v>73</v>
      </c>
      <c r="E50" s="32">
        <v>100</v>
      </c>
      <c r="F50" s="33">
        <v>65595.7</v>
      </c>
      <c r="G50" s="33" t="str" cm="1">
        <f t="array" ref="G50">_xlfn.IFS(revenuXYZ[[#This Row],[categorie]]="Salaire","Banque",revenuXYZ[[#This Row],[categorie]]="Don","Portefeuille",revenuXYZ[[#This Row],[categorie]]="Freelancing","Banque",revenuXYZ[[#This Row],[categorie]]="Autres","Portefeuille")</f>
        <v>Portefeuille</v>
      </c>
      <c r="H50" s="33">
        <v>46</v>
      </c>
    </row>
    <row r="51" spans="1:8" ht="16" x14ac:dyDescent="0.4">
      <c r="A51" s="27">
        <v>45574</v>
      </c>
      <c r="B51" s="31">
        <v>10</v>
      </c>
      <c r="C51" s="32" t="s">
        <v>18</v>
      </c>
      <c r="D51" s="33" t="s">
        <v>74</v>
      </c>
      <c r="E51" s="32">
        <v>300</v>
      </c>
      <c r="F51" s="33">
        <v>18000</v>
      </c>
      <c r="G51" s="33" t="str" cm="1">
        <f t="array" ref="G51">_xlfn.IFS(revenuXYZ[[#This Row],[categorie]]="Salaire","Banque",revenuXYZ[[#This Row],[categorie]]="Don","Portefeuille",revenuXYZ[[#This Row],[categorie]]="Freelancing","Banque",revenuXYZ[[#This Row],[categorie]]="Autres","Portefeuille")</f>
        <v>Portefeuille</v>
      </c>
      <c r="H51" s="33">
        <v>47</v>
      </c>
    </row>
    <row r="52" spans="1:8" ht="16" x14ac:dyDescent="0.4">
      <c r="A52" s="27">
        <v>45498</v>
      </c>
      <c r="B52" s="31">
        <v>7</v>
      </c>
      <c r="C52" s="32" t="s">
        <v>16</v>
      </c>
      <c r="D52" s="33" t="s">
        <v>75</v>
      </c>
      <c r="E52" s="32">
        <v>1000</v>
      </c>
      <c r="F52" s="33">
        <v>60000</v>
      </c>
      <c r="G52" s="33" t="str" cm="1">
        <f t="array" ref="G52">_xlfn.IFS(revenuXYZ[[#This Row],[categorie]]="Salaire","Banque",revenuXYZ[[#This Row],[categorie]]="Don","Portefeuille",revenuXYZ[[#This Row],[categorie]]="Freelancing","Banque",revenuXYZ[[#This Row],[categorie]]="Autres","Portefeuille")</f>
        <v>Banque</v>
      </c>
      <c r="H52" s="33">
        <v>48</v>
      </c>
    </row>
    <row r="53" spans="1:8" ht="16" x14ac:dyDescent="0.4">
      <c r="A53" s="27">
        <v>45498</v>
      </c>
      <c r="B53" s="31">
        <v>7</v>
      </c>
      <c r="C53" s="32" t="s">
        <v>17</v>
      </c>
      <c r="D53" s="33" t="s">
        <v>76</v>
      </c>
      <c r="E53" s="32">
        <v>200</v>
      </c>
      <c r="F53" s="33">
        <v>12000</v>
      </c>
      <c r="G53" s="33" t="str" cm="1">
        <f t="array" ref="G53">_xlfn.IFS(revenuXYZ[[#This Row],[categorie]]="Salaire","Banque",revenuXYZ[[#This Row],[categorie]]="Don","Portefeuille",revenuXYZ[[#This Row],[categorie]]="Freelancing","Banque",revenuXYZ[[#This Row],[categorie]]="Autres","Portefeuille")</f>
        <v>Banque</v>
      </c>
      <c r="H53" s="33">
        <v>49</v>
      </c>
    </row>
    <row r="54" spans="1:8" ht="16" x14ac:dyDescent="0.4">
      <c r="A54" s="27">
        <v>45621</v>
      </c>
      <c r="B54" s="31">
        <v>11</v>
      </c>
      <c r="C54" s="32" t="s">
        <v>16</v>
      </c>
      <c r="D54" s="33" t="s">
        <v>77</v>
      </c>
      <c r="E54" s="32">
        <v>13000</v>
      </c>
      <c r="F54" s="33">
        <v>780000</v>
      </c>
      <c r="G54" s="33" t="str" cm="1">
        <f t="array" ref="G54">_xlfn.IFS(revenuXYZ[[#This Row],[categorie]]="Salaire","Banque",revenuXYZ[[#This Row],[categorie]]="Don","Portefeuille",revenuXYZ[[#This Row],[categorie]]="Freelancing","Banque",revenuXYZ[[#This Row],[categorie]]="Autres","Portefeuille")</f>
        <v>Banque</v>
      </c>
      <c r="H54" s="33">
        <v>50</v>
      </c>
    </row>
    <row r="55" spans="1:8" ht="16" x14ac:dyDescent="0.4">
      <c r="A55" s="27">
        <v>45348</v>
      </c>
      <c r="B55" s="31">
        <v>2</v>
      </c>
      <c r="C55" s="32" t="s">
        <v>16</v>
      </c>
      <c r="D55" s="33"/>
      <c r="E55" s="32">
        <v>10000</v>
      </c>
      <c r="F55" s="33">
        <v>600000</v>
      </c>
      <c r="G55" s="33" t="str" cm="1">
        <f t="array" ref="G55">_xlfn.IFS(revenuXYZ[[#This Row],[categorie]]="Salaire","Banque",revenuXYZ[[#This Row],[categorie]]="Don","Portefeuille",revenuXYZ[[#This Row],[categorie]]="Freelancing","Banque",revenuXYZ[[#This Row],[categorie]]="Autres","Portefeuille")</f>
        <v>Banque</v>
      </c>
      <c r="H55" s="33">
        <v>51</v>
      </c>
    </row>
    <row r="56" spans="1:8" ht="16" x14ac:dyDescent="0.4">
      <c r="A56" s="27">
        <v>45499</v>
      </c>
      <c r="B56" s="31">
        <v>7</v>
      </c>
      <c r="C56" s="32" t="s">
        <v>35</v>
      </c>
      <c r="D56" s="33" t="s">
        <v>137</v>
      </c>
      <c r="E56" s="32">
        <v>2</v>
      </c>
      <c r="F56" s="33">
        <v>120</v>
      </c>
      <c r="G56" s="33" t="str" cm="1">
        <f t="array" ref="G56">_xlfn.IFS(revenuXYZ[[#This Row],[categorie]]="Salaire","Banque",revenuXYZ[[#This Row],[categorie]]="Don","Portefeuille",revenuXYZ[[#This Row],[categorie]]="Freelancing","Banque",revenuXYZ[[#This Row],[categorie]]="Autres","Portefeuille")</f>
        <v>Portefeuille</v>
      </c>
      <c r="H56" s="33">
        <v>52</v>
      </c>
    </row>
    <row r="57" spans="1:8" ht="16" x14ac:dyDescent="0.4">
      <c r="A57" s="27">
        <v>45622</v>
      </c>
      <c r="B57" s="31">
        <v>11</v>
      </c>
      <c r="C57" s="32" t="s">
        <v>16</v>
      </c>
      <c r="D57" s="33" t="s">
        <v>139</v>
      </c>
      <c r="E57" s="32">
        <v>10000</v>
      </c>
      <c r="F57" s="33">
        <v>600000</v>
      </c>
      <c r="G57" s="33" t="str" cm="1">
        <f t="array" ref="G57">_xlfn.IFS(revenuXYZ[[#This Row],[categorie]]="Salaire","Banque",revenuXYZ[[#This Row],[categorie]]="Don","Portefeuille",revenuXYZ[[#This Row],[categorie]]="Freelancing","Banque",revenuXYZ[[#This Row],[categorie]]="Autres","Portefeuille")</f>
        <v>Banque</v>
      </c>
      <c r="H57" s="33">
        <v>53</v>
      </c>
    </row>
    <row r="58" spans="1:8" ht="16" x14ac:dyDescent="0.4">
      <c r="A58" s="27">
        <v>45531</v>
      </c>
      <c r="B58" s="31">
        <v>8</v>
      </c>
      <c r="C58" s="32" t="s">
        <v>35</v>
      </c>
      <c r="D58" s="33" t="s">
        <v>141</v>
      </c>
      <c r="E58" s="32">
        <v>100</v>
      </c>
      <c r="F58" s="33">
        <v>6000</v>
      </c>
      <c r="G58" s="33" t="str" cm="1">
        <f t="array" ref="G58">_xlfn.IFS(revenuXYZ[[#This Row],[categorie]]="Salaire","Banque",revenuXYZ[[#This Row],[categorie]]="Don","Portefeuille",revenuXYZ[[#This Row],[categorie]]="Freelancing","Banque",revenuXYZ[[#This Row],[categorie]]="Autres","Portefeuille")</f>
        <v>Portefeuille</v>
      </c>
      <c r="H58" s="33">
        <v>54</v>
      </c>
    </row>
    <row r="59" spans="1:8" ht="16" x14ac:dyDescent="0.4">
      <c r="A59" s="33" t="s">
        <v>24</v>
      </c>
      <c r="B59" s="33"/>
      <c r="C59" s="33"/>
      <c r="D59" s="34"/>
      <c r="E59" s="35">
        <f>SUBTOTAL(109,revenuXYZ[montant])</f>
        <v>153991</v>
      </c>
      <c r="F59" s="36">
        <f>SUM(revenuXYZ[montant_CFA])</f>
        <v>4500019.7109999992</v>
      </c>
      <c r="G59" s="33"/>
      <c r="H59" s="33"/>
    </row>
  </sheetData>
  <conditionalFormatting sqref="C5:C58">
    <cfRule type="cellIs" dxfId="7" priority="1" operator="equal">
      <formula>"Salaire"</formula>
    </cfRule>
  </conditionalFormatting>
  <conditionalFormatting sqref="E5:E58">
    <cfRule type="dataBar" priority="2">
      <dataBar>
        <cfvo type="min"/>
        <cfvo type="max"/>
        <color theme="9"/>
      </dataBar>
      <extLst>
        <ext xmlns:x14="http://schemas.microsoft.com/office/spreadsheetml/2009/9/main" uri="{B025F937-C7B1-47D3-B67F-A62EFF666E3E}">
          <x14:id>{78082D5C-47C6-43BC-9046-70E74BAF8C9C}</x14:id>
        </ext>
      </extLst>
    </cfRule>
  </conditionalFormatting>
  <pageMargins left="0.7" right="0.7" top="0.75" bottom="0.75" header="0.3" footer="0.3"/>
  <pageSetup paperSize="9" orientation="landscape" r:id="rId1"/>
  <headerFooter>
    <oddHeader>&amp;CHermann  KAKPEU</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Button8_Click">
                <anchor moveWithCells="1" sizeWithCells="1">
                  <from>
                    <xdr:col>3</xdr:col>
                    <xdr:colOff>165100</xdr:colOff>
                    <xdr:row>0</xdr:row>
                    <xdr:rowOff>38100</xdr:rowOff>
                  </from>
                  <to>
                    <xdr:col>3</xdr:col>
                    <xdr:colOff>2755900</xdr:colOff>
                    <xdr:row>2</xdr:row>
                    <xdr:rowOff>152400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78082D5C-47C6-43BC-9046-70E74BAF8C9C}">
            <x14:dataBar minLength="0" maxLength="100" border="1" negativeBarBorderColorSameAsPositive="0">
              <x14:cfvo type="autoMin"/>
              <x14:cfvo type="autoMax"/>
              <x14:borderColor rgb="FFD6007B"/>
              <x14:negativeFillColor rgb="FFFF0000"/>
              <x14:negativeBorderColor rgb="FFFF0000"/>
              <x14:axisColor rgb="FF000000"/>
            </x14:dataBar>
          </x14:cfRule>
          <xm:sqref>E5:E58</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D0E9C-3FDF-401D-9A3B-482FF9E82AE0}">
  <sheetPr codeName="Sheet4"/>
  <dimension ref="A4:H52"/>
  <sheetViews>
    <sheetView view="pageLayout" zoomScale="73" zoomScaleNormal="100" zoomScalePageLayoutView="73" workbookViewId="0">
      <selection activeCell="E51" sqref="E51"/>
    </sheetView>
  </sheetViews>
  <sheetFormatPr defaultRowHeight="14.5" x14ac:dyDescent="0.35"/>
  <cols>
    <col min="1" max="1" width="8.81640625" bestFit="1" customWidth="1"/>
    <col min="2" max="2" width="6.90625" customWidth="1"/>
    <col min="3" max="3" width="14.1796875" customWidth="1"/>
    <col min="4" max="4" width="18.08984375" bestFit="1" customWidth="1"/>
    <col min="5" max="5" width="40.7265625" customWidth="1"/>
    <col min="6" max="6" width="15.54296875" customWidth="1"/>
    <col min="7" max="7" width="18" customWidth="1"/>
  </cols>
  <sheetData>
    <row r="4" spans="1:8" ht="16" x14ac:dyDescent="0.4">
      <c r="A4" s="33" t="s">
        <v>31</v>
      </c>
      <c r="B4" s="33" t="s">
        <v>50</v>
      </c>
      <c r="C4" s="33" t="s">
        <v>52</v>
      </c>
      <c r="D4" s="33" t="s">
        <v>36</v>
      </c>
      <c r="E4" s="33" t="s">
        <v>33</v>
      </c>
      <c r="F4" s="33" t="s">
        <v>34</v>
      </c>
      <c r="G4" s="33" t="s">
        <v>48</v>
      </c>
      <c r="H4" s="33" t="s">
        <v>142</v>
      </c>
    </row>
    <row r="5" spans="1:8" x14ac:dyDescent="0.35">
      <c r="A5" s="39">
        <v>45498</v>
      </c>
      <c r="B5" s="40">
        <v>7</v>
      </c>
      <c r="C5" s="41" t="s">
        <v>54</v>
      </c>
      <c r="D5" s="14" t="s">
        <v>79</v>
      </c>
      <c r="E5" t="s">
        <v>80</v>
      </c>
      <c r="F5">
        <v>20</v>
      </c>
      <c r="G5">
        <v>1200</v>
      </c>
      <c r="H5">
        <v>1</v>
      </c>
    </row>
    <row r="6" spans="1:8" x14ac:dyDescent="0.35">
      <c r="A6" s="39">
        <v>45498</v>
      </c>
      <c r="B6" s="40">
        <v>7</v>
      </c>
      <c r="C6" s="41" t="s">
        <v>54</v>
      </c>
      <c r="D6" s="14" t="s">
        <v>26</v>
      </c>
      <c r="E6" t="s">
        <v>81</v>
      </c>
      <c r="F6">
        <v>50</v>
      </c>
      <c r="G6">
        <v>3000</v>
      </c>
      <c r="H6">
        <v>2</v>
      </c>
    </row>
    <row r="7" spans="1:8" x14ac:dyDescent="0.35">
      <c r="A7" s="39">
        <v>45498</v>
      </c>
      <c r="B7" s="40">
        <v>7</v>
      </c>
      <c r="C7" s="41" t="s">
        <v>54</v>
      </c>
      <c r="D7" s="14" t="s">
        <v>28</v>
      </c>
      <c r="E7" t="s">
        <v>82</v>
      </c>
      <c r="F7">
        <v>100</v>
      </c>
      <c r="G7">
        <v>6000</v>
      </c>
      <c r="H7">
        <v>3</v>
      </c>
    </row>
    <row r="8" spans="1:8" x14ac:dyDescent="0.35">
      <c r="A8" s="39">
        <v>45498</v>
      </c>
      <c r="B8" s="40">
        <v>7</v>
      </c>
      <c r="C8" s="41" t="s">
        <v>54</v>
      </c>
      <c r="D8" s="14" t="s">
        <v>44</v>
      </c>
      <c r="E8" t="s">
        <v>83</v>
      </c>
      <c r="F8">
        <v>200</v>
      </c>
      <c r="G8">
        <v>12000</v>
      </c>
      <c r="H8">
        <v>4</v>
      </c>
    </row>
    <row r="9" spans="1:8" x14ac:dyDescent="0.35">
      <c r="A9" s="39">
        <v>45560</v>
      </c>
      <c r="B9" s="40">
        <v>9</v>
      </c>
      <c r="C9" s="41" t="s">
        <v>54</v>
      </c>
      <c r="D9" s="14" t="s">
        <v>44</v>
      </c>
      <c r="E9" t="s">
        <v>84</v>
      </c>
      <c r="F9">
        <v>100</v>
      </c>
      <c r="G9">
        <v>6000</v>
      </c>
      <c r="H9">
        <v>5</v>
      </c>
    </row>
    <row r="10" spans="1:8" x14ac:dyDescent="0.35">
      <c r="A10" s="39">
        <v>45498</v>
      </c>
      <c r="B10" s="40">
        <v>7</v>
      </c>
      <c r="C10" s="41" t="s">
        <v>54</v>
      </c>
      <c r="D10" s="14" t="s">
        <v>20</v>
      </c>
      <c r="E10" t="s">
        <v>85</v>
      </c>
      <c r="F10">
        <v>1000</v>
      </c>
      <c r="G10">
        <v>60000</v>
      </c>
      <c r="H10">
        <v>6</v>
      </c>
    </row>
    <row r="11" spans="1:8" x14ac:dyDescent="0.35">
      <c r="A11" s="39">
        <v>45560</v>
      </c>
      <c r="B11" s="40">
        <v>9</v>
      </c>
      <c r="C11" s="41" t="s">
        <v>54</v>
      </c>
      <c r="D11" s="14" t="s">
        <v>78</v>
      </c>
      <c r="E11" t="s">
        <v>90</v>
      </c>
      <c r="F11">
        <v>300</v>
      </c>
      <c r="G11">
        <v>18000</v>
      </c>
      <c r="H11">
        <v>7</v>
      </c>
    </row>
    <row r="12" spans="1:8" x14ac:dyDescent="0.35">
      <c r="A12" s="39">
        <v>45292</v>
      </c>
      <c r="B12" s="40">
        <v>1</v>
      </c>
      <c r="C12" s="41" t="s">
        <v>53</v>
      </c>
      <c r="D12" s="14" t="s">
        <v>20</v>
      </c>
      <c r="E12" t="s">
        <v>100</v>
      </c>
      <c r="F12">
        <v>3000</v>
      </c>
      <c r="G12">
        <v>180000</v>
      </c>
      <c r="H12">
        <v>8</v>
      </c>
    </row>
    <row r="13" spans="1:8" x14ac:dyDescent="0.35">
      <c r="A13" s="39">
        <v>45294</v>
      </c>
      <c r="B13" s="40">
        <v>1</v>
      </c>
      <c r="C13" s="41" t="s">
        <v>54</v>
      </c>
      <c r="D13" s="14" t="s">
        <v>78</v>
      </c>
      <c r="E13" t="s">
        <v>101</v>
      </c>
      <c r="F13">
        <v>200</v>
      </c>
      <c r="G13">
        <v>12000</v>
      </c>
      <c r="H13">
        <v>9</v>
      </c>
    </row>
    <row r="14" spans="1:8" x14ac:dyDescent="0.35">
      <c r="A14" s="39">
        <v>45296</v>
      </c>
      <c r="B14" s="40">
        <v>1</v>
      </c>
      <c r="C14" s="41" t="s">
        <v>54</v>
      </c>
      <c r="D14" s="14" t="s">
        <v>25</v>
      </c>
      <c r="E14" t="s">
        <v>102</v>
      </c>
      <c r="F14">
        <v>50</v>
      </c>
      <c r="G14">
        <v>3000</v>
      </c>
      <c r="H14">
        <v>10</v>
      </c>
    </row>
    <row r="15" spans="1:8" x14ac:dyDescent="0.35">
      <c r="A15" s="39">
        <v>45296</v>
      </c>
      <c r="B15" s="40">
        <v>1</v>
      </c>
      <c r="C15" s="41" t="s">
        <v>54</v>
      </c>
      <c r="D15" s="14" t="s">
        <v>26</v>
      </c>
      <c r="E15" t="s">
        <v>103</v>
      </c>
      <c r="F15">
        <v>100</v>
      </c>
      <c r="G15">
        <v>6000</v>
      </c>
      <c r="H15">
        <v>11</v>
      </c>
    </row>
    <row r="16" spans="1:8" x14ac:dyDescent="0.35">
      <c r="A16" s="39">
        <v>45300</v>
      </c>
      <c r="B16" s="40">
        <v>1</v>
      </c>
      <c r="C16" s="41" t="s">
        <v>53</v>
      </c>
      <c r="D16" s="14" t="s">
        <v>79</v>
      </c>
      <c r="E16" t="s">
        <v>104</v>
      </c>
      <c r="F16">
        <v>200</v>
      </c>
      <c r="G16">
        <v>12000</v>
      </c>
      <c r="H16">
        <v>12</v>
      </c>
    </row>
    <row r="17" spans="1:8" x14ac:dyDescent="0.35">
      <c r="A17" s="39">
        <v>45300</v>
      </c>
      <c r="B17" s="40">
        <v>1</v>
      </c>
      <c r="C17" s="41" t="s">
        <v>54</v>
      </c>
      <c r="D17" s="14" t="s">
        <v>44</v>
      </c>
      <c r="E17" t="s">
        <v>105</v>
      </c>
      <c r="F17">
        <v>300</v>
      </c>
      <c r="G17">
        <v>18000</v>
      </c>
      <c r="H17">
        <v>13</v>
      </c>
    </row>
    <row r="18" spans="1:8" x14ac:dyDescent="0.35">
      <c r="A18" s="39">
        <v>45300</v>
      </c>
      <c r="B18" s="40">
        <v>1</v>
      </c>
      <c r="C18" s="41" t="s">
        <v>54</v>
      </c>
      <c r="D18" s="14" t="s">
        <v>44</v>
      </c>
      <c r="E18" t="s">
        <v>106</v>
      </c>
      <c r="F18">
        <v>100</v>
      </c>
      <c r="G18">
        <v>6000</v>
      </c>
      <c r="H18">
        <v>14</v>
      </c>
    </row>
    <row r="19" spans="1:8" x14ac:dyDescent="0.35">
      <c r="A19" s="39">
        <v>45302</v>
      </c>
      <c r="B19" s="40">
        <v>1</v>
      </c>
      <c r="C19" s="41" t="s">
        <v>54</v>
      </c>
      <c r="D19" s="14" t="s">
        <v>56</v>
      </c>
      <c r="E19" t="s">
        <v>107</v>
      </c>
      <c r="F19">
        <v>150</v>
      </c>
      <c r="G19">
        <v>9000</v>
      </c>
      <c r="H19">
        <v>15</v>
      </c>
    </row>
    <row r="20" spans="1:8" x14ac:dyDescent="0.35">
      <c r="A20" s="39">
        <v>45302</v>
      </c>
      <c r="B20" s="40">
        <v>1</v>
      </c>
      <c r="C20" s="41" t="s">
        <v>54</v>
      </c>
      <c r="D20" s="14" t="s">
        <v>56</v>
      </c>
      <c r="E20" t="s">
        <v>108</v>
      </c>
      <c r="F20">
        <v>50</v>
      </c>
      <c r="G20">
        <v>3000</v>
      </c>
      <c r="H20">
        <v>16</v>
      </c>
    </row>
    <row r="21" spans="1:8" x14ac:dyDescent="0.35">
      <c r="A21" s="39">
        <v>45302</v>
      </c>
      <c r="B21" s="40">
        <v>1</v>
      </c>
      <c r="C21" s="41" t="s">
        <v>53</v>
      </c>
      <c r="D21" s="14" t="s">
        <v>56</v>
      </c>
      <c r="E21" t="s">
        <v>109</v>
      </c>
      <c r="F21">
        <v>70</v>
      </c>
      <c r="G21">
        <v>4200</v>
      </c>
      <c r="H21">
        <v>17</v>
      </c>
    </row>
    <row r="22" spans="1:8" x14ac:dyDescent="0.35">
      <c r="A22" s="39">
        <v>45307</v>
      </c>
      <c r="B22" s="40">
        <v>1</v>
      </c>
      <c r="C22" s="41" t="s">
        <v>53</v>
      </c>
      <c r="D22" s="14" t="s">
        <v>55</v>
      </c>
      <c r="E22" t="s">
        <v>110</v>
      </c>
      <c r="F22">
        <v>200</v>
      </c>
      <c r="G22">
        <v>12000</v>
      </c>
      <c r="H22">
        <v>18</v>
      </c>
    </row>
    <row r="23" spans="1:8" x14ac:dyDescent="0.35">
      <c r="A23" s="39">
        <v>45307</v>
      </c>
      <c r="B23" s="40">
        <v>1</v>
      </c>
      <c r="C23" s="41" t="s">
        <v>53</v>
      </c>
      <c r="D23" s="14" t="s">
        <v>28</v>
      </c>
      <c r="E23" t="s">
        <v>111</v>
      </c>
      <c r="F23">
        <v>50</v>
      </c>
      <c r="G23">
        <v>3000</v>
      </c>
      <c r="H23">
        <v>19</v>
      </c>
    </row>
    <row r="24" spans="1:8" x14ac:dyDescent="0.35">
      <c r="A24" s="39">
        <v>45312</v>
      </c>
      <c r="B24" s="40">
        <v>1</v>
      </c>
      <c r="C24" s="41" t="s">
        <v>53</v>
      </c>
      <c r="D24" s="14" t="s">
        <v>29</v>
      </c>
      <c r="E24" t="s">
        <v>112</v>
      </c>
      <c r="F24">
        <v>300</v>
      </c>
      <c r="G24">
        <v>18000</v>
      </c>
      <c r="H24">
        <v>20</v>
      </c>
    </row>
    <row r="25" spans="1:8" x14ac:dyDescent="0.35">
      <c r="A25" s="39">
        <v>45343</v>
      </c>
      <c r="B25" s="40">
        <v>2</v>
      </c>
      <c r="C25" s="41" t="s">
        <v>53</v>
      </c>
      <c r="D25" s="14" t="s">
        <v>20</v>
      </c>
      <c r="E25" t="s">
        <v>113</v>
      </c>
      <c r="F25">
        <v>3000</v>
      </c>
      <c r="G25">
        <v>180000</v>
      </c>
      <c r="H25">
        <v>21</v>
      </c>
    </row>
    <row r="26" spans="1:8" x14ac:dyDescent="0.35">
      <c r="A26" s="39">
        <v>45325</v>
      </c>
      <c r="B26" s="40">
        <v>2</v>
      </c>
      <c r="C26" s="41" t="s">
        <v>53</v>
      </c>
      <c r="D26" s="14" t="s">
        <v>78</v>
      </c>
      <c r="E26" t="s">
        <v>114</v>
      </c>
      <c r="F26">
        <v>130</v>
      </c>
      <c r="G26">
        <v>7800</v>
      </c>
      <c r="H26">
        <v>22</v>
      </c>
    </row>
    <row r="27" spans="1:8" x14ac:dyDescent="0.35">
      <c r="A27" s="39">
        <v>45306</v>
      </c>
      <c r="B27" s="40">
        <v>1</v>
      </c>
      <c r="C27" s="41" t="s">
        <v>53</v>
      </c>
      <c r="D27" s="14" t="s">
        <v>79</v>
      </c>
      <c r="E27" t="s">
        <v>104</v>
      </c>
      <c r="F27">
        <v>150</v>
      </c>
      <c r="G27">
        <v>9000</v>
      </c>
      <c r="H27">
        <v>23</v>
      </c>
    </row>
    <row r="28" spans="1:8" x14ac:dyDescent="0.35">
      <c r="A28" s="39">
        <v>45348</v>
      </c>
      <c r="B28" s="40">
        <v>2</v>
      </c>
      <c r="C28" s="41" t="s">
        <v>54</v>
      </c>
      <c r="D28" s="14" t="s">
        <v>25</v>
      </c>
      <c r="E28" t="s">
        <v>118</v>
      </c>
      <c r="F28">
        <v>73</v>
      </c>
      <c r="G28">
        <v>4380</v>
      </c>
      <c r="H28">
        <v>24</v>
      </c>
    </row>
    <row r="29" spans="1:8" x14ac:dyDescent="0.35">
      <c r="A29" s="39">
        <v>45348</v>
      </c>
      <c r="B29" s="40">
        <v>2</v>
      </c>
      <c r="C29" s="41" t="s">
        <v>54</v>
      </c>
      <c r="D29" s="14" t="s">
        <v>79</v>
      </c>
      <c r="E29" t="s">
        <v>119</v>
      </c>
      <c r="F29">
        <v>200</v>
      </c>
      <c r="G29">
        <v>12000</v>
      </c>
      <c r="H29">
        <v>25</v>
      </c>
    </row>
    <row r="30" spans="1:8" x14ac:dyDescent="0.35">
      <c r="A30" s="39">
        <v>45354</v>
      </c>
      <c r="B30" s="40">
        <v>3</v>
      </c>
      <c r="C30" s="41" t="s">
        <v>54</v>
      </c>
      <c r="D30" s="14" t="s">
        <v>20</v>
      </c>
      <c r="E30" t="s">
        <v>120</v>
      </c>
      <c r="F30">
        <v>3000</v>
      </c>
      <c r="G30">
        <v>180000</v>
      </c>
      <c r="H30">
        <v>26</v>
      </c>
    </row>
    <row r="31" spans="1:8" x14ac:dyDescent="0.35">
      <c r="A31" s="39">
        <v>45358</v>
      </c>
      <c r="B31" s="40">
        <v>3</v>
      </c>
      <c r="C31" s="41" t="s">
        <v>54</v>
      </c>
      <c r="D31" s="14" t="s">
        <v>78</v>
      </c>
      <c r="E31" t="s">
        <v>121</v>
      </c>
      <c r="F31">
        <v>100</v>
      </c>
      <c r="G31">
        <v>6000</v>
      </c>
      <c r="H31">
        <v>27</v>
      </c>
    </row>
    <row r="32" spans="1:8" x14ac:dyDescent="0.35">
      <c r="A32" s="39">
        <v>45358</v>
      </c>
      <c r="B32" s="40">
        <v>3</v>
      </c>
      <c r="C32" s="41" t="s">
        <v>54</v>
      </c>
      <c r="D32" s="14" t="s">
        <v>25</v>
      </c>
      <c r="E32" t="s">
        <v>122</v>
      </c>
      <c r="F32">
        <v>50</v>
      </c>
      <c r="G32">
        <v>3000</v>
      </c>
      <c r="H32">
        <v>28</v>
      </c>
    </row>
    <row r="33" spans="1:8" x14ac:dyDescent="0.35">
      <c r="A33" s="39">
        <v>45363</v>
      </c>
      <c r="B33" s="40">
        <v>3</v>
      </c>
      <c r="C33" s="41" t="s">
        <v>54</v>
      </c>
      <c r="D33" s="14" t="s">
        <v>79</v>
      </c>
      <c r="E33" t="s">
        <v>123</v>
      </c>
      <c r="F33">
        <v>200</v>
      </c>
      <c r="G33">
        <v>12000</v>
      </c>
      <c r="H33">
        <v>29</v>
      </c>
    </row>
    <row r="34" spans="1:8" x14ac:dyDescent="0.35">
      <c r="A34" s="39">
        <v>45365</v>
      </c>
      <c r="B34" s="40">
        <v>3</v>
      </c>
      <c r="C34" s="41" t="s">
        <v>53</v>
      </c>
      <c r="D34" s="14" t="s">
        <v>26</v>
      </c>
      <c r="E34" t="s">
        <v>81</v>
      </c>
      <c r="F34">
        <v>60</v>
      </c>
      <c r="G34">
        <v>3600</v>
      </c>
      <c r="H34">
        <v>30</v>
      </c>
    </row>
    <row r="35" spans="1:8" x14ac:dyDescent="0.35">
      <c r="A35" s="39">
        <v>45365</v>
      </c>
      <c r="B35" s="40">
        <v>3</v>
      </c>
      <c r="C35" s="41" t="s">
        <v>53</v>
      </c>
      <c r="D35" s="14" t="s">
        <v>44</v>
      </c>
      <c r="E35" t="s">
        <v>124</v>
      </c>
      <c r="F35">
        <v>200</v>
      </c>
      <c r="G35">
        <v>12000</v>
      </c>
      <c r="H35">
        <v>31</v>
      </c>
    </row>
    <row r="36" spans="1:8" x14ac:dyDescent="0.35">
      <c r="A36" s="39">
        <v>45363</v>
      </c>
      <c r="B36" s="40">
        <v>3</v>
      </c>
      <c r="C36" s="41" t="s">
        <v>53</v>
      </c>
      <c r="D36" s="14" t="s">
        <v>56</v>
      </c>
      <c r="E36" t="s">
        <v>125</v>
      </c>
      <c r="F36">
        <v>400</v>
      </c>
      <c r="G36">
        <v>24000</v>
      </c>
      <c r="H36">
        <v>32</v>
      </c>
    </row>
    <row r="37" spans="1:8" x14ac:dyDescent="0.35">
      <c r="A37" s="39">
        <v>45369</v>
      </c>
      <c r="B37" s="40">
        <v>3</v>
      </c>
      <c r="C37" s="41" t="s">
        <v>54</v>
      </c>
      <c r="D37" s="14" t="s">
        <v>55</v>
      </c>
      <c r="E37" t="s">
        <v>126</v>
      </c>
      <c r="F37">
        <v>100</v>
      </c>
      <c r="G37">
        <v>6000</v>
      </c>
      <c r="H37">
        <v>33</v>
      </c>
    </row>
    <row r="38" spans="1:8" x14ac:dyDescent="0.35">
      <c r="A38" s="39">
        <v>45371</v>
      </c>
      <c r="B38" s="40">
        <v>3</v>
      </c>
      <c r="C38" s="41" t="s">
        <v>53</v>
      </c>
      <c r="D38" s="14" t="s">
        <v>27</v>
      </c>
      <c r="E38" t="s">
        <v>127</v>
      </c>
      <c r="F38">
        <v>300</v>
      </c>
      <c r="G38">
        <v>18000</v>
      </c>
      <c r="H38">
        <v>34</v>
      </c>
    </row>
    <row r="39" spans="1:8" x14ac:dyDescent="0.35">
      <c r="A39" s="39">
        <v>45371</v>
      </c>
      <c r="B39" s="40">
        <v>3</v>
      </c>
      <c r="C39" s="41" t="s">
        <v>53</v>
      </c>
      <c r="D39" s="14" t="s">
        <v>28</v>
      </c>
      <c r="E39" t="s">
        <v>128</v>
      </c>
      <c r="F39">
        <v>150</v>
      </c>
      <c r="G39">
        <v>9000</v>
      </c>
      <c r="H39">
        <v>35</v>
      </c>
    </row>
    <row r="40" spans="1:8" x14ac:dyDescent="0.35">
      <c r="A40" s="39">
        <v>45371</v>
      </c>
      <c r="B40" s="40">
        <v>3</v>
      </c>
      <c r="C40" s="41" t="s">
        <v>53</v>
      </c>
      <c r="D40" s="14" t="s">
        <v>29</v>
      </c>
      <c r="E40" t="s">
        <v>129</v>
      </c>
      <c r="F40">
        <v>250</v>
      </c>
      <c r="G40">
        <v>15000</v>
      </c>
      <c r="H40">
        <v>36</v>
      </c>
    </row>
    <row r="41" spans="1:8" x14ac:dyDescent="0.35">
      <c r="A41" s="39">
        <v>45383</v>
      </c>
      <c r="B41" s="40">
        <v>4</v>
      </c>
      <c r="C41" s="41" t="s">
        <v>53</v>
      </c>
      <c r="D41" s="14" t="s">
        <v>20</v>
      </c>
      <c r="E41" t="s">
        <v>130</v>
      </c>
      <c r="F41">
        <v>3000</v>
      </c>
      <c r="G41">
        <v>180000</v>
      </c>
      <c r="H41">
        <v>37</v>
      </c>
    </row>
    <row r="42" spans="1:8" x14ac:dyDescent="0.35">
      <c r="A42" s="39">
        <v>45414</v>
      </c>
      <c r="B42" s="40">
        <v>5</v>
      </c>
      <c r="C42" s="41" t="s">
        <v>53</v>
      </c>
      <c r="D42" s="14" t="s">
        <v>20</v>
      </c>
      <c r="E42" t="s">
        <v>131</v>
      </c>
      <c r="F42">
        <v>3500</v>
      </c>
      <c r="G42">
        <v>210000</v>
      </c>
      <c r="H42">
        <v>38</v>
      </c>
    </row>
    <row r="43" spans="1:8" x14ac:dyDescent="0.35">
      <c r="A43" s="39">
        <v>45445</v>
      </c>
      <c r="B43" s="40">
        <v>6</v>
      </c>
      <c r="C43" s="41" t="s">
        <v>53</v>
      </c>
      <c r="D43" s="14" t="s">
        <v>20</v>
      </c>
      <c r="E43" t="s">
        <v>132</v>
      </c>
      <c r="F43">
        <v>3500</v>
      </c>
      <c r="G43">
        <v>210000</v>
      </c>
      <c r="H43">
        <v>39</v>
      </c>
    </row>
    <row r="44" spans="1:8" x14ac:dyDescent="0.35">
      <c r="A44" s="39">
        <v>45537</v>
      </c>
      <c r="B44" s="40">
        <v>9</v>
      </c>
      <c r="C44" s="41" t="s">
        <v>53</v>
      </c>
      <c r="D44" s="14" t="s">
        <v>20</v>
      </c>
      <c r="E44" t="s">
        <v>133</v>
      </c>
      <c r="F44">
        <v>3500</v>
      </c>
      <c r="G44">
        <v>210000</v>
      </c>
      <c r="H44">
        <v>40</v>
      </c>
    </row>
    <row r="45" spans="1:8" x14ac:dyDescent="0.35">
      <c r="A45" s="39">
        <v>45567</v>
      </c>
      <c r="B45" s="40">
        <v>10</v>
      </c>
      <c r="C45" s="41" t="s">
        <v>53</v>
      </c>
      <c r="D45" s="14" t="s">
        <v>20</v>
      </c>
      <c r="E45" t="s">
        <v>134</v>
      </c>
      <c r="F45">
        <v>4000</v>
      </c>
      <c r="G45">
        <v>240000</v>
      </c>
      <c r="H45">
        <v>41</v>
      </c>
    </row>
    <row r="46" spans="1:8" x14ac:dyDescent="0.35">
      <c r="A46" s="39">
        <v>45598</v>
      </c>
      <c r="B46" s="40">
        <v>11</v>
      </c>
      <c r="C46" s="41" t="s">
        <v>53</v>
      </c>
      <c r="D46" s="14" t="s">
        <v>20</v>
      </c>
      <c r="E46" t="s">
        <v>135</v>
      </c>
      <c r="F46">
        <v>4000</v>
      </c>
      <c r="G46">
        <v>240000</v>
      </c>
      <c r="H46">
        <v>42</v>
      </c>
    </row>
    <row r="47" spans="1:8" x14ac:dyDescent="0.35">
      <c r="A47" s="39">
        <v>45628</v>
      </c>
      <c r="B47" s="40">
        <v>12</v>
      </c>
      <c r="C47" s="41" t="s">
        <v>53</v>
      </c>
      <c r="D47" s="14" t="s">
        <v>20</v>
      </c>
      <c r="E47" t="s">
        <v>136</v>
      </c>
      <c r="F47">
        <v>5000</v>
      </c>
      <c r="G47">
        <v>300000</v>
      </c>
      <c r="H47">
        <v>43</v>
      </c>
    </row>
    <row r="48" spans="1:8" x14ac:dyDescent="0.35">
      <c r="A48" s="39">
        <v>45499</v>
      </c>
      <c r="B48" s="40">
        <v>7</v>
      </c>
      <c r="C48" s="41" t="s">
        <v>54</v>
      </c>
      <c r="D48" s="14" t="s">
        <v>51</v>
      </c>
      <c r="E48" t="s">
        <v>137</v>
      </c>
      <c r="F48">
        <v>2</v>
      </c>
      <c r="G48">
        <v>120</v>
      </c>
      <c r="H48">
        <v>44</v>
      </c>
    </row>
    <row r="49" spans="1:8" x14ac:dyDescent="0.35">
      <c r="A49" s="39">
        <v>45499</v>
      </c>
      <c r="B49" s="40">
        <v>7</v>
      </c>
      <c r="C49" s="41" t="s">
        <v>54</v>
      </c>
      <c r="D49" s="14" t="s">
        <v>44</v>
      </c>
      <c r="E49" t="s">
        <v>138</v>
      </c>
      <c r="F49">
        <v>200</v>
      </c>
      <c r="G49">
        <v>12000</v>
      </c>
      <c r="H49">
        <v>45</v>
      </c>
    </row>
    <row r="50" spans="1:8" x14ac:dyDescent="0.35">
      <c r="A50" s="39">
        <v>45499</v>
      </c>
      <c r="B50" s="40">
        <v>7</v>
      </c>
      <c r="C50" s="41" t="s">
        <v>54</v>
      </c>
      <c r="D50" s="14" t="s">
        <v>78</v>
      </c>
      <c r="E50" t="s">
        <v>140</v>
      </c>
      <c r="F50">
        <v>200</v>
      </c>
      <c r="G50">
        <v>12000</v>
      </c>
      <c r="H50">
        <v>46</v>
      </c>
    </row>
    <row r="51" spans="1:8" x14ac:dyDescent="0.35">
      <c r="A51" s="64">
        <v>45506</v>
      </c>
      <c r="B51" s="65">
        <v>8</v>
      </c>
      <c r="C51" s="66" t="s">
        <v>54</v>
      </c>
      <c r="D51" s="67" t="s">
        <v>20</v>
      </c>
      <c r="E51" s="68" t="s">
        <v>155</v>
      </c>
      <c r="F51" s="68">
        <v>3000</v>
      </c>
      <c r="G51" s="69">
        <v>180000</v>
      </c>
      <c r="H51" s="68"/>
    </row>
    <row r="52" spans="1:8" ht="16" x14ac:dyDescent="0.4">
      <c r="A52" s="33" t="s">
        <v>24</v>
      </c>
      <c r="B52" s="33"/>
      <c r="C52" s="33"/>
      <c r="D52" s="33"/>
      <c r="E52" s="33"/>
      <c r="F52" s="37">
        <f>SUBTOTAL(109,depense[montant]) + [1]!depensesJuillet24[[#Totals],[montant]]</f>
        <v>44805</v>
      </c>
      <c r="G52" s="36">
        <f>SUM(depense[montant_CFA])</f>
        <v>2688300</v>
      </c>
      <c r="H52" s="33"/>
    </row>
  </sheetData>
  <conditionalFormatting sqref="F5:F51">
    <cfRule type="colorScale" priority="1">
      <colorScale>
        <cfvo type="min"/>
        <cfvo type="percentile" val="50"/>
        <cfvo type="max"/>
        <color theme="0" tint="-0.14999847407452621"/>
        <color theme="5" tint="0.59999389629810485"/>
        <color rgb="FFC00000"/>
      </colorScale>
    </cfRule>
  </conditionalFormatting>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Button9_Click">
                <anchor moveWithCells="1" sizeWithCells="1">
                  <from>
                    <xdr:col>4</xdr:col>
                    <xdr:colOff>120650</xdr:colOff>
                    <xdr:row>1</xdr:row>
                    <xdr:rowOff>6350</xdr:rowOff>
                  </from>
                  <to>
                    <xdr:col>4</xdr:col>
                    <xdr:colOff>2457450</xdr:colOff>
                    <xdr:row>2</xdr:row>
                    <xdr:rowOff>165100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916A4-ACAD-40BA-87CC-7B67F2361FE1}">
  <sheetPr codeName="Sheet6"/>
  <dimension ref="C6:Q61"/>
  <sheetViews>
    <sheetView topLeftCell="D1" workbookViewId="0">
      <selection activeCell="N16" sqref="N16"/>
    </sheetView>
  </sheetViews>
  <sheetFormatPr defaultRowHeight="14.5" x14ac:dyDescent="0.35"/>
  <cols>
    <col min="4" max="4" width="10.08984375" bestFit="1" customWidth="1"/>
    <col min="5" max="5" width="15.6328125" customWidth="1"/>
    <col min="6" max="6" width="25.1796875" customWidth="1"/>
    <col min="7" max="7" width="15.6328125" customWidth="1"/>
    <col min="8" max="8" width="15.54296875" customWidth="1"/>
    <col min="14" max="14" width="13.6328125" customWidth="1"/>
    <col min="15" max="15" width="28.08984375" customWidth="1"/>
    <col min="16" max="16" width="13.81640625" customWidth="1"/>
    <col min="17" max="17" width="15" customWidth="1"/>
  </cols>
  <sheetData>
    <row r="6" spans="3:17" x14ac:dyDescent="0.35">
      <c r="C6" t="s">
        <v>142</v>
      </c>
      <c r="D6" t="s">
        <v>171</v>
      </c>
      <c r="E6" t="s">
        <v>52</v>
      </c>
      <c r="F6" t="s">
        <v>33</v>
      </c>
      <c r="G6" t="s">
        <v>34</v>
      </c>
      <c r="H6" t="s">
        <v>48</v>
      </c>
      <c r="M6" t="s">
        <v>31</v>
      </c>
      <c r="N6" t="s">
        <v>172</v>
      </c>
      <c r="O6" t="s">
        <v>33</v>
      </c>
      <c r="P6" t="s">
        <v>52</v>
      </c>
      <c r="Q6" t="s">
        <v>34</v>
      </c>
    </row>
    <row r="7" spans="3:17" x14ac:dyDescent="0.35">
      <c r="C7">
        <v>1</v>
      </c>
      <c r="D7" s="77">
        <v>45292</v>
      </c>
      <c r="E7" t="s">
        <v>53</v>
      </c>
      <c r="G7">
        <v>1000</v>
      </c>
      <c r="H7">
        <f>G7*60</f>
        <v>60000</v>
      </c>
      <c r="M7" s="80">
        <v>45292</v>
      </c>
      <c r="N7">
        <v>1</v>
      </c>
      <c r="P7" s="78" t="s">
        <v>53</v>
      </c>
      <c r="Q7">
        <v>500</v>
      </c>
    </row>
    <row r="8" spans="3:17" x14ac:dyDescent="0.35">
      <c r="C8">
        <v>2</v>
      </c>
      <c r="D8" s="77">
        <v>45293</v>
      </c>
      <c r="E8" t="s">
        <v>54</v>
      </c>
      <c r="G8">
        <v>70</v>
      </c>
      <c r="H8">
        <f t="shared" ref="H8:H60" si="0">G8*60</f>
        <v>4200</v>
      </c>
      <c r="M8" s="81">
        <v>45293</v>
      </c>
      <c r="N8">
        <v>2</v>
      </c>
      <c r="P8" s="79" t="s">
        <v>54</v>
      </c>
      <c r="Q8">
        <v>35</v>
      </c>
    </row>
    <row r="9" spans="3:17" x14ac:dyDescent="0.35">
      <c r="C9">
        <v>3</v>
      </c>
      <c r="D9" s="77">
        <v>45294</v>
      </c>
      <c r="E9" t="s">
        <v>54</v>
      </c>
      <c r="G9">
        <v>100</v>
      </c>
      <c r="H9">
        <f t="shared" si="0"/>
        <v>6000</v>
      </c>
      <c r="M9" s="80">
        <v>45294</v>
      </c>
      <c r="N9">
        <v>3</v>
      </c>
      <c r="P9" s="78" t="s">
        <v>54</v>
      </c>
      <c r="Q9">
        <v>50</v>
      </c>
    </row>
    <row r="10" spans="3:17" x14ac:dyDescent="0.35">
      <c r="C10">
        <v>4</v>
      </c>
      <c r="D10" s="77">
        <v>45295</v>
      </c>
      <c r="E10" t="s">
        <v>53</v>
      </c>
      <c r="G10">
        <v>150</v>
      </c>
      <c r="H10">
        <f t="shared" si="0"/>
        <v>9000</v>
      </c>
      <c r="M10" s="81">
        <v>45295</v>
      </c>
      <c r="N10">
        <v>4</v>
      </c>
      <c r="P10" s="79" t="s">
        <v>53</v>
      </c>
      <c r="Q10">
        <v>75</v>
      </c>
    </row>
    <row r="11" spans="3:17" x14ac:dyDescent="0.35">
      <c r="C11">
        <v>5</v>
      </c>
      <c r="D11" s="77">
        <v>45296</v>
      </c>
      <c r="E11" t="s">
        <v>53</v>
      </c>
      <c r="G11">
        <v>40</v>
      </c>
      <c r="H11">
        <f t="shared" si="0"/>
        <v>2400</v>
      </c>
      <c r="M11" s="80">
        <v>45296</v>
      </c>
      <c r="N11">
        <v>5</v>
      </c>
      <c r="P11" s="78" t="s">
        <v>53</v>
      </c>
      <c r="Q11">
        <v>20</v>
      </c>
    </row>
    <row r="12" spans="3:17" x14ac:dyDescent="0.35">
      <c r="C12">
        <v>6</v>
      </c>
      <c r="D12" s="77">
        <v>45297</v>
      </c>
      <c r="E12" t="s">
        <v>54</v>
      </c>
      <c r="G12">
        <v>20</v>
      </c>
      <c r="H12">
        <f t="shared" si="0"/>
        <v>1200</v>
      </c>
      <c r="M12" s="81">
        <v>45297</v>
      </c>
      <c r="N12">
        <v>6</v>
      </c>
      <c r="P12" s="79" t="s">
        <v>54</v>
      </c>
      <c r="Q12">
        <v>10</v>
      </c>
    </row>
    <row r="13" spans="3:17" x14ac:dyDescent="0.35">
      <c r="C13">
        <v>7</v>
      </c>
      <c r="D13" s="77">
        <v>45298</v>
      </c>
      <c r="E13" t="s">
        <v>53</v>
      </c>
      <c r="G13">
        <v>80</v>
      </c>
      <c r="H13">
        <f t="shared" si="0"/>
        <v>4800</v>
      </c>
      <c r="M13" s="80">
        <v>45298</v>
      </c>
      <c r="N13">
        <v>7</v>
      </c>
      <c r="P13" s="78" t="s">
        <v>53</v>
      </c>
      <c r="Q13">
        <v>40</v>
      </c>
    </row>
    <row r="14" spans="3:17" x14ac:dyDescent="0.35">
      <c r="C14">
        <v>8</v>
      </c>
      <c r="D14" s="77">
        <v>45323</v>
      </c>
      <c r="E14" t="s">
        <v>53</v>
      </c>
      <c r="G14">
        <v>1000</v>
      </c>
      <c r="H14">
        <f t="shared" si="0"/>
        <v>60000</v>
      </c>
      <c r="M14" s="81">
        <v>45323</v>
      </c>
      <c r="N14">
        <v>8</v>
      </c>
      <c r="P14" s="79" t="s">
        <v>53</v>
      </c>
      <c r="Q14">
        <v>500</v>
      </c>
    </row>
    <row r="15" spans="3:17" x14ac:dyDescent="0.35">
      <c r="C15">
        <v>9</v>
      </c>
      <c r="D15" s="77">
        <v>45324</v>
      </c>
      <c r="E15" t="s">
        <v>53</v>
      </c>
      <c r="G15">
        <v>100</v>
      </c>
      <c r="H15">
        <f t="shared" si="0"/>
        <v>6000</v>
      </c>
      <c r="M15" s="80">
        <v>45324</v>
      </c>
      <c r="N15">
        <v>9</v>
      </c>
      <c r="P15" s="78" t="s">
        <v>53</v>
      </c>
      <c r="Q15">
        <v>50</v>
      </c>
    </row>
    <row r="16" spans="3:17" x14ac:dyDescent="0.35">
      <c r="C16">
        <v>10</v>
      </c>
      <c r="D16" s="77">
        <v>45325</v>
      </c>
      <c r="E16" t="s">
        <v>53</v>
      </c>
      <c r="G16">
        <v>40</v>
      </c>
      <c r="H16">
        <f t="shared" si="0"/>
        <v>2400</v>
      </c>
      <c r="M16" s="81">
        <v>45325</v>
      </c>
      <c r="N16">
        <v>10</v>
      </c>
      <c r="P16" s="79" t="s">
        <v>53</v>
      </c>
      <c r="Q16">
        <v>20</v>
      </c>
    </row>
    <row r="17" spans="3:17" x14ac:dyDescent="0.35">
      <c r="C17">
        <v>11</v>
      </c>
      <c r="D17" s="77">
        <v>45326</v>
      </c>
      <c r="E17" t="s">
        <v>54</v>
      </c>
      <c r="G17">
        <v>30</v>
      </c>
      <c r="H17">
        <f t="shared" si="0"/>
        <v>1800</v>
      </c>
      <c r="M17" s="80">
        <v>45326</v>
      </c>
      <c r="N17">
        <v>11</v>
      </c>
      <c r="P17" s="78" t="s">
        <v>54</v>
      </c>
      <c r="Q17">
        <v>15</v>
      </c>
    </row>
    <row r="18" spans="3:17" x14ac:dyDescent="0.35">
      <c r="C18">
        <v>12</v>
      </c>
      <c r="D18" s="77">
        <v>45327</v>
      </c>
      <c r="E18" t="s">
        <v>53</v>
      </c>
      <c r="G18">
        <v>45</v>
      </c>
      <c r="H18">
        <f t="shared" si="0"/>
        <v>2700</v>
      </c>
      <c r="M18" s="81">
        <v>45327</v>
      </c>
      <c r="N18">
        <v>12</v>
      </c>
      <c r="P18" s="79" t="s">
        <v>53</v>
      </c>
      <c r="Q18">
        <v>22.5</v>
      </c>
    </row>
    <row r="19" spans="3:17" x14ac:dyDescent="0.35">
      <c r="C19">
        <v>13</v>
      </c>
      <c r="D19" s="77">
        <v>45352</v>
      </c>
      <c r="E19" t="s">
        <v>53</v>
      </c>
      <c r="G19">
        <v>1020</v>
      </c>
      <c r="H19">
        <f t="shared" si="0"/>
        <v>61200</v>
      </c>
      <c r="M19" s="80">
        <v>45352</v>
      </c>
      <c r="N19">
        <v>13</v>
      </c>
      <c r="P19" s="78" t="s">
        <v>53</v>
      </c>
      <c r="Q19">
        <v>510</v>
      </c>
    </row>
    <row r="20" spans="3:17" x14ac:dyDescent="0.35">
      <c r="C20">
        <v>14</v>
      </c>
      <c r="D20" s="77">
        <v>45353</v>
      </c>
      <c r="E20" t="s">
        <v>53</v>
      </c>
      <c r="G20">
        <v>130</v>
      </c>
      <c r="H20">
        <f t="shared" si="0"/>
        <v>7800</v>
      </c>
      <c r="M20" s="81">
        <v>45353</v>
      </c>
      <c r="N20">
        <v>14</v>
      </c>
      <c r="P20" s="79" t="s">
        <v>53</v>
      </c>
      <c r="Q20">
        <v>65</v>
      </c>
    </row>
    <row r="21" spans="3:17" x14ac:dyDescent="0.35">
      <c r="C21">
        <v>15</v>
      </c>
      <c r="D21" s="77">
        <v>45354</v>
      </c>
      <c r="E21" t="s">
        <v>53</v>
      </c>
      <c r="G21">
        <v>100</v>
      </c>
      <c r="H21">
        <f t="shared" si="0"/>
        <v>6000</v>
      </c>
      <c r="M21" s="80">
        <v>45354</v>
      </c>
      <c r="N21">
        <v>15</v>
      </c>
      <c r="P21" s="78" t="s">
        <v>53</v>
      </c>
      <c r="Q21">
        <v>50</v>
      </c>
    </row>
    <row r="22" spans="3:17" x14ac:dyDescent="0.35">
      <c r="C22">
        <v>16</v>
      </c>
      <c r="D22" s="77">
        <v>45383</v>
      </c>
      <c r="E22" t="s">
        <v>53</v>
      </c>
      <c r="G22">
        <v>1010</v>
      </c>
      <c r="H22">
        <f t="shared" si="0"/>
        <v>60600</v>
      </c>
      <c r="M22" s="81">
        <v>45383</v>
      </c>
      <c r="N22">
        <v>16</v>
      </c>
      <c r="P22" s="79" t="s">
        <v>53</v>
      </c>
      <c r="Q22">
        <v>505</v>
      </c>
    </row>
    <row r="23" spans="3:17" x14ac:dyDescent="0.35">
      <c r="C23">
        <v>17</v>
      </c>
      <c r="D23" s="77">
        <v>45404</v>
      </c>
      <c r="E23" t="s">
        <v>54</v>
      </c>
      <c r="G23">
        <v>55</v>
      </c>
      <c r="H23">
        <f t="shared" si="0"/>
        <v>3300</v>
      </c>
      <c r="M23" s="80">
        <v>45404</v>
      </c>
      <c r="N23">
        <v>17</v>
      </c>
      <c r="P23" s="78" t="s">
        <v>54</v>
      </c>
      <c r="Q23">
        <v>27.5</v>
      </c>
    </row>
    <row r="24" spans="3:17" x14ac:dyDescent="0.35">
      <c r="C24">
        <v>18</v>
      </c>
      <c r="D24" s="77">
        <v>45431</v>
      </c>
      <c r="E24" t="s">
        <v>53</v>
      </c>
      <c r="G24">
        <v>10</v>
      </c>
      <c r="H24">
        <f t="shared" si="0"/>
        <v>600</v>
      </c>
      <c r="M24" s="81">
        <v>45431</v>
      </c>
      <c r="N24">
        <v>18</v>
      </c>
      <c r="P24" s="79" t="s">
        <v>53</v>
      </c>
      <c r="Q24">
        <v>5</v>
      </c>
    </row>
    <row r="25" spans="3:17" x14ac:dyDescent="0.35">
      <c r="C25">
        <v>19</v>
      </c>
      <c r="D25" s="77">
        <v>45473</v>
      </c>
      <c r="E25" t="s">
        <v>54</v>
      </c>
      <c r="G25">
        <v>24</v>
      </c>
      <c r="H25">
        <f t="shared" si="0"/>
        <v>1440</v>
      </c>
      <c r="M25" s="80">
        <v>45473</v>
      </c>
      <c r="N25">
        <v>19</v>
      </c>
      <c r="P25" s="78" t="s">
        <v>54</v>
      </c>
      <c r="Q25">
        <v>12</v>
      </c>
    </row>
    <row r="26" spans="3:17" x14ac:dyDescent="0.35">
      <c r="C26">
        <v>20</v>
      </c>
      <c r="D26" s="77">
        <v>45474</v>
      </c>
      <c r="E26" t="s">
        <v>53</v>
      </c>
      <c r="G26">
        <v>1250</v>
      </c>
      <c r="H26">
        <f t="shared" si="0"/>
        <v>75000</v>
      </c>
      <c r="M26" s="81">
        <v>45474</v>
      </c>
      <c r="N26">
        <v>20</v>
      </c>
      <c r="P26" s="79" t="s">
        <v>53</v>
      </c>
      <c r="Q26">
        <v>625</v>
      </c>
    </row>
    <row r="27" spans="3:17" x14ac:dyDescent="0.35">
      <c r="C27">
        <v>21</v>
      </c>
      <c r="D27" s="77">
        <v>45475</v>
      </c>
      <c r="E27" t="s">
        <v>53</v>
      </c>
      <c r="G27">
        <v>135</v>
      </c>
      <c r="H27">
        <f t="shared" si="0"/>
        <v>8100</v>
      </c>
      <c r="M27" s="80">
        <v>45475</v>
      </c>
      <c r="N27">
        <v>21</v>
      </c>
      <c r="P27" s="78" t="s">
        <v>53</v>
      </c>
      <c r="Q27">
        <v>67.5</v>
      </c>
    </row>
    <row r="28" spans="3:17" x14ac:dyDescent="0.35">
      <c r="C28">
        <v>22</v>
      </c>
      <c r="D28" s="77">
        <v>45488</v>
      </c>
      <c r="E28" t="s">
        <v>53</v>
      </c>
      <c r="G28">
        <v>100</v>
      </c>
      <c r="H28">
        <f t="shared" si="0"/>
        <v>6000</v>
      </c>
      <c r="M28" s="81">
        <v>45488</v>
      </c>
      <c r="N28">
        <v>22</v>
      </c>
      <c r="P28" s="79" t="s">
        <v>53</v>
      </c>
      <c r="Q28">
        <v>50</v>
      </c>
    </row>
    <row r="29" spans="3:17" x14ac:dyDescent="0.35">
      <c r="C29">
        <v>23</v>
      </c>
      <c r="D29" s="77">
        <v>45489</v>
      </c>
      <c r="E29" t="s">
        <v>53</v>
      </c>
      <c r="G29">
        <v>120</v>
      </c>
      <c r="H29">
        <f t="shared" si="0"/>
        <v>7200</v>
      </c>
      <c r="M29" s="80">
        <v>45489</v>
      </c>
      <c r="N29">
        <v>23</v>
      </c>
      <c r="P29" s="78" t="s">
        <v>53</v>
      </c>
      <c r="Q29">
        <v>60</v>
      </c>
    </row>
    <row r="30" spans="3:17" x14ac:dyDescent="0.35">
      <c r="C30">
        <v>24</v>
      </c>
      <c r="D30" s="77">
        <v>45490</v>
      </c>
      <c r="E30" t="s">
        <v>54</v>
      </c>
      <c r="G30">
        <v>43</v>
      </c>
      <c r="H30">
        <f t="shared" si="0"/>
        <v>2580</v>
      </c>
      <c r="M30" s="81">
        <v>45490</v>
      </c>
      <c r="N30">
        <v>24</v>
      </c>
      <c r="P30" s="79" t="s">
        <v>54</v>
      </c>
      <c r="Q30">
        <v>21.5</v>
      </c>
    </row>
    <row r="31" spans="3:17" x14ac:dyDescent="0.35">
      <c r="C31">
        <v>25</v>
      </c>
      <c r="D31" s="77">
        <v>45483</v>
      </c>
      <c r="E31" t="s">
        <v>53</v>
      </c>
      <c r="G31">
        <v>200</v>
      </c>
      <c r="H31">
        <f t="shared" si="0"/>
        <v>12000</v>
      </c>
      <c r="M31" s="80">
        <v>45483</v>
      </c>
      <c r="N31">
        <v>25</v>
      </c>
      <c r="P31" s="78" t="s">
        <v>53</v>
      </c>
      <c r="Q31">
        <v>100</v>
      </c>
    </row>
    <row r="32" spans="3:17" x14ac:dyDescent="0.35">
      <c r="C32">
        <v>26</v>
      </c>
      <c r="D32" s="77">
        <v>45484</v>
      </c>
      <c r="E32" t="s">
        <v>54</v>
      </c>
      <c r="G32">
        <v>23</v>
      </c>
      <c r="H32">
        <f t="shared" si="0"/>
        <v>1380</v>
      </c>
      <c r="M32" s="81">
        <v>45484</v>
      </c>
      <c r="N32">
        <v>26</v>
      </c>
      <c r="P32" s="79" t="s">
        <v>54</v>
      </c>
      <c r="Q32">
        <v>11.5</v>
      </c>
    </row>
    <row r="33" spans="3:17" x14ac:dyDescent="0.35">
      <c r="C33">
        <v>27</v>
      </c>
      <c r="D33" s="77">
        <v>45326</v>
      </c>
      <c r="E33" t="s">
        <v>54</v>
      </c>
      <c r="G33">
        <v>34.4</v>
      </c>
      <c r="H33">
        <f t="shared" si="0"/>
        <v>2064</v>
      </c>
      <c r="M33" s="80">
        <v>45326</v>
      </c>
      <c r="N33">
        <v>27</v>
      </c>
      <c r="P33" s="78" t="s">
        <v>54</v>
      </c>
      <c r="Q33">
        <v>17.2</v>
      </c>
    </row>
    <row r="34" spans="3:17" x14ac:dyDescent="0.35">
      <c r="C34">
        <v>28</v>
      </c>
      <c r="D34" s="77">
        <v>45483</v>
      </c>
      <c r="E34" t="s">
        <v>53</v>
      </c>
      <c r="G34">
        <v>200</v>
      </c>
      <c r="H34">
        <f t="shared" si="0"/>
        <v>12000</v>
      </c>
      <c r="M34" s="81">
        <v>45483</v>
      </c>
      <c r="N34">
        <v>28</v>
      </c>
      <c r="P34" s="79" t="s">
        <v>53</v>
      </c>
      <c r="Q34">
        <v>100</v>
      </c>
    </row>
    <row r="35" spans="3:17" x14ac:dyDescent="0.35">
      <c r="C35">
        <v>29</v>
      </c>
      <c r="D35" s="77">
        <v>45483</v>
      </c>
      <c r="E35" t="s">
        <v>53</v>
      </c>
      <c r="G35">
        <v>321.10000000000002</v>
      </c>
      <c r="H35">
        <f t="shared" si="0"/>
        <v>19266</v>
      </c>
      <c r="M35" s="80">
        <v>45483</v>
      </c>
      <c r="N35">
        <v>29</v>
      </c>
      <c r="P35" s="78" t="s">
        <v>53</v>
      </c>
      <c r="Q35">
        <v>160.55000000000001</v>
      </c>
    </row>
    <row r="36" spans="3:17" x14ac:dyDescent="0.35">
      <c r="C36">
        <v>30</v>
      </c>
      <c r="D36" s="77">
        <v>45483</v>
      </c>
      <c r="E36" t="s">
        <v>53</v>
      </c>
      <c r="G36">
        <v>1000</v>
      </c>
      <c r="H36">
        <f t="shared" si="0"/>
        <v>60000</v>
      </c>
      <c r="M36" s="81">
        <v>45483</v>
      </c>
      <c r="N36">
        <v>30</v>
      </c>
      <c r="P36" s="79" t="s">
        <v>53</v>
      </c>
      <c r="Q36">
        <v>500</v>
      </c>
    </row>
    <row r="37" spans="3:17" x14ac:dyDescent="0.35">
      <c r="C37">
        <v>31</v>
      </c>
      <c r="D37" s="77">
        <v>45575</v>
      </c>
      <c r="E37" t="s">
        <v>54</v>
      </c>
      <c r="G37">
        <v>12</v>
      </c>
      <c r="H37">
        <f t="shared" si="0"/>
        <v>720</v>
      </c>
      <c r="M37" s="80">
        <v>45575</v>
      </c>
      <c r="N37">
        <v>31</v>
      </c>
      <c r="P37" s="78" t="s">
        <v>54</v>
      </c>
      <c r="Q37">
        <v>6</v>
      </c>
    </row>
    <row r="38" spans="3:17" x14ac:dyDescent="0.35">
      <c r="C38">
        <v>32</v>
      </c>
      <c r="D38" s="77">
        <v>45484</v>
      </c>
      <c r="E38" t="s">
        <v>53</v>
      </c>
      <c r="G38">
        <v>200</v>
      </c>
      <c r="H38">
        <f t="shared" si="0"/>
        <v>12000</v>
      </c>
      <c r="M38" s="81">
        <v>45484</v>
      </c>
      <c r="N38">
        <v>32</v>
      </c>
      <c r="P38" s="79" t="s">
        <v>53</v>
      </c>
      <c r="Q38">
        <v>100</v>
      </c>
    </row>
    <row r="39" spans="3:17" x14ac:dyDescent="0.35">
      <c r="C39">
        <v>33</v>
      </c>
      <c r="D39" s="77">
        <v>45573</v>
      </c>
      <c r="E39" t="s">
        <v>54</v>
      </c>
      <c r="G39">
        <v>320</v>
      </c>
      <c r="H39">
        <f t="shared" si="0"/>
        <v>19200</v>
      </c>
      <c r="M39" s="80">
        <v>45573</v>
      </c>
      <c r="N39">
        <v>33</v>
      </c>
      <c r="P39" s="78" t="s">
        <v>54</v>
      </c>
      <c r="Q39">
        <v>160</v>
      </c>
    </row>
    <row r="40" spans="3:17" x14ac:dyDescent="0.35">
      <c r="C40">
        <v>34</v>
      </c>
      <c r="D40" s="77">
        <v>45573</v>
      </c>
      <c r="E40" t="s">
        <v>54</v>
      </c>
      <c r="G40">
        <v>32</v>
      </c>
      <c r="H40">
        <f t="shared" si="0"/>
        <v>1920</v>
      </c>
      <c r="M40" s="81">
        <v>45573</v>
      </c>
      <c r="N40">
        <v>34</v>
      </c>
      <c r="P40" s="79" t="s">
        <v>54</v>
      </c>
      <c r="Q40">
        <v>16</v>
      </c>
    </row>
    <row r="41" spans="3:17" x14ac:dyDescent="0.35">
      <c r="C41">
        <v>35</v>
      </c>
      <c r="D41" s="77">
        <v>45546</v>
      </c>
      <c r="E41" t="s">
        <v>53</v>
      </c>
      <c r="G41">
        <v>1300</v>
      </c>
      <c r="H41">
        <f t="shared" si="0"/>
        <v>78000</v>
      </c>
      <c r="M41" s="80">
        <v>45546</v>
      </c>
      <c r="N41">
        <v>35</v>
      </c>
      <c r="P41" s="78" t="s">
        <v>53</v>
      </c>
      <c r="Q41">
        <v>650</v>
      </c>
    </row>
    <row r="42" spans="3:17" x14ac:dyDescent="0.35">
      <c r="C42">
        <v>36</v>
      </c>
      <c r="D42" s="77">
        <v>45637</v>
      </c>
      <c r="E42" t="s">
        <v>53</v>
      </c>
      <c r="G42">
        <v>1400</v>
      </c>
      <c r="H42">
        <f t="shared" si="0"/>
        <v>84000</v>
      </c>
      <c r="M42" s="81">
        <v>45637</v>
      </c>
      <c r="N42">
        <v>36</v>
      </c>
      <c r="P42" s="79" t="s">
        <v>53</v>
      </c>
      <c r="Q42">
        <v>700</v>
      </c>
    </row>
    <row r="43" spans="3:17" x14ac:dyDescent="0.35">
      <c r="C43">
        <v>37</v>
      </c>
      <c r="D43" s="77">
        <v>45454</v>
      </c>
      <c r="E43" t="s">
        <v>53</v>
      </c>
      <c r="G43">
        <v>100</v>
      </c>
      <c r="H43">
        <f t="shared" si="0"/>
        <v>6000</v>
      </c>
      <c r="M43" s="80">
        <v>45454</v>
      </c>
      <c r="N43">
        <v>37</v>
      </c>
      <c r="P43" s="78" t="s">
        <v>53</v>
      </c>
      <c r="Q43">
        <v>50</v>
      </c>
    </row>
    <row r="44" spans="3:17" x14ac:dyDescent="0.35">
      <c r="C44">
        <v>38</v>
      </c>
      <c r="D44" s="77">
        <v>45484</v>
      </c>
      <c r="E44" t="s">
        <v>53</v>
      </c>
      <c r="G44">
        <v>5.5</v>
      </c>
      <c r="H44">
        <f t="shared" si="0"/>
        <v>330</v>
      </c>
      <c r="M44" s="81">
        <v>45484</v>
      </c>
      <c r="N44">
        <v>38</v>
      </c>
      <c r="P44" s="79" t="s">
        <v>53</v>
      </c>
      <c r="Q44">
        <v>2.75</v>
      </c>
    </row>
    <row r="45" spans="3:17" x14ac:dyDescent="0.35">
      <c r="C45">
        <v>39</v>
      </c>
      <c r="D45" s="77">
        <v>45484</v>
      </c>
      <c r="E45" t="s">
        <v>53</v>
      </c>
      <c r="G45">
        <v>6.6000000000000005</v>
      </c>
      <c r="H45">
        <f t="shared" si="0"/>
        <v>396.00000000000006</v>
      </c>
      <c r="M45" s="80">
        <v>45484</v>
      </c>
      <c r="N45">
        <v>39</v>
      </c>
      <c r="P45" s="78" t="s">
        <v>53</v>
      </c>
      <c r="Q45">
        <v>3.3000000000000003</v>
      </c>
    </row>
    <row r="46" spans="3:17" x14ac:dyDescent="0.35">
      <c r="C46">
        <v>40</v>
      </c>
      <c r="D46" s="77">
        <v>45505</v>
      </c>
      <c r="E46" t="s">
        <v>54</v>
      </c>
      <c r="G46">
        <v>20</v>
      </c>
      <c r="H46">
        <f t="shared" si="0"/>
        <v>1200</v>
      </c>
      <c r="M46" s="81">
        <v>45505</v>
      </c>
      <c r="N46">
        <v>40</v>
      </c>
      <c r="P46" s="79" t="s">
        <v>54</v>
      </c>
      <c r="Q46">
        <v>10</v>
      </c>
    </row>
    <row r="47" spans="3:17" x14ac:dyDescent="0.35">
      <c r="C47">
        <v>41</v>
      </c>
      <c r="D47" s="77">
        <v>45510</v>
      </c>
      <c r="E47" t="s">
        <v>54</v>
      </c>
      <c r="G47">
        <v>20</v>
      </c>
      <c r="H47">
        <f t="shared" si="0"/>
        <v>1200</v>
      </c>
      <c r="M47" s="80">
        <v>45510</v>
      </c>
      <c r="N47">
        <v>41</v>
      </c>
      <c r="P47" s="78" t="s">
        <v>54</v>
      </c>
      <c r="Q47">
        <v>10</v>
      </c>
    </row>
    <row r="48" spans="3:17" x14ac:dyDescent="0.35">
      <c r="C48">
        <v>42</v>
      </c>
      <c r="D48" s="77">
        <v>45510</v>
      </c>
      <c r="E48" t="s">
        <v>54</v>
      </c>
      <c r="G48">
        <v>20</v>
      </c>
      <c r="H48">
        <f t="shared" si="0"/>
        <v>1200</v>
      </c>
      <c r="M48" s="81">
        <v>45510</v>
      </c>
      <c r="N48">
        <v>42</v>
      </c>
      <c r="P48" s="79" t="s">
        <v>54</v>
      </c>
      <c r="Q48">
        <v>10</v>
      </c>
    </row>
    <row r="49" spans="3:17" x14ac:dyDescent="0.35">
      <c r="C49">
        <v>43</v>
      </c>
      <c r="D49" s="77">
        <v>45475</v>
      </c>
      <c r="E49" t="s">
        <v>54</v>
      </c>
      <c r="G49">
        <v>2.3000000000000003</v>
      </c>
      <c r="H49">
        <f t="shared" si="0"/>
        <v>138.00000000000003</v>
      </c>
      <c r="M49" s="80">
        <v>45475</v>
      </c>
      <c r="N49">
        <v>43</v>
      </c>
      <c r="P49" s="78" t="s">
        <v>54</v>
      </c>
      <c r="Q49">
        <v>1.1500000000000001</v>
      </c>
    </row>
    <row r="50" spans="3:17" x14ac:dyDescent="0.35">
      <c r="C50">
        <v>44</v>
      </c>
      <c r="D50" s="77">
        <v>45353</v>
      </c>
      <c r="E50" t="s">
        <v>54</v>
      </c>
      <c r="G50">
        <v>20</v>
      </c>
      <c r="H50">
        <f t="shared" si="0"/>
        <v>1200</v>
      </c>
      <c r="M50" s="81">
        <v>45353</v>
      </c>
      <c r="N50">
        <v>44</v>
      </c>
      <c r="P50" s="79" t="s">
        <v>54</v>
      </c>
      <c r="Q50">
        <v>10</v>
      </c>
    </row>
    <row r="51" spans="3:17" x14ac:dyDescent="0.35">
      <c r="C51">
        <v>45</v>
      </c>
      <c r="D51" s="77">
        <v>45506</v>
      </c>
      <c r="E51" t="s">
        <v>54</v>
      </c>
      <c r="G51">
        <v>20</v>
      </c>
      <c r="H51">
        <f t="shared" si="0"/>
        <v>1200</v>
      </c>
      <c r="M51" s="80">
        <v>45506</v>
      </c>
      <c r="N51">
        <v>45</v>
      </c>
      <c r="P51" s="78" t="s">
        <v>54</v>
      </c>
      <c r="Q51">
        <v>10</v>
      </c>
    </row>
    <row r="52" spans="3:17" x14ac:dyDescent="0.35">
      <c r="C52">
        <v>46</v>
      </c>
      <c r="D52" s="77">
        <v>45511</v>
      </c>
      <c r="E52" t="s">
        <v>54</v>
      </c>
      <c r="G52">
        <v>10</v>
      </c>
      <c r="H52">
        <f t="shared" si="0"/>
        <v>600</v>
      </c>
      <c r="M52" s="81">
        <v>45511</v>
      </c>
      <c r="N52">
        <v>46</v>
      </c>
      <c r="P52" s="79" t="s">
        <v>54</v>
      </c>
      <c r="Q52">
        <v>5</v>
      </c>
    </row>
    <row r="53" spans="3:17" x14ac:dyDescent="0.35">
      <c r="C53">
        <v>47</v>
      </c>
      <c r="D53" s="77">
        <v>45574</v>
      </c>
      <c r="E53" t="s">
        <v>54</v>
      </c>
      <c r="G53">
        <v>30</v>
      </c>
      <c r="H53">
        <f t="shared" si="0"/>
        <v>1800</v>
      </c>
      <c r="M53" s="80">
        <v>45574</v>
      </c>
      <c r="N53">
        <v>47</v>
      </c>
      <c r="P53" s="78" t="s">
        <v>54</v>
      </c>
      <c r="Q53">
        <v>15</v>
      </c>
    </row>
    <row r="54" spans="3:17" x14ac:dyDescent="0.35">
      <c r="C54">
        <v>48</v>
      </c>
      <c r="D54" s="77">
        <v>45498</v>
      </c>
      <c r="E54" t="s">
        <v>53</v>
      </c>
      <c r="G54">
        <v>100</v>
      </c>
      <c r="H54">
        <f t="shared" si="0"/>
        <v>6000</v>
      </c>
      <c r="M54" s="81">
        <v>45498</v>
      </c>
      <c r="N54">
        <v>48</v>
      </c>
      <c r="P54" s="79" t="s">
        <v>53</v>
      </c>
      <c r="Q54">
        <v>50</v>
      </c>
    </row>
    <row r="55" spans="3:17" x14ac:dyDescent="0.35">
      <c r="C55">
        <v>49</v>
      </c>
      <c r="D55" s="77">
        <v>45498</v>
      </c>
      <c r="E55" t="s">
        <v>53</v>
      </c>
      <c r="G55">
        <v>20</v>
      </c>
      <c r="H55">
        <f t="shared" si="0"/>
        <v>1200</v>
      </c>
      <c r="M55" s="80">
        <v>45498</v>
      </c>
      <c r="N55">
        <v>49</v>
      </c>
      <c r="P55" s="78" t="s">
        <v>53</v>
      </c>
      <c r="Q55">
        <v>10</v>
      </c>
    </row>
    <row r="56" spans="3:17" x14ac:dyDescent="0.35">
      <c r="C56">
        <v>50</v>
      </c>
      <c r="D56" s="77">
        <v>45621</v>
      </c>
      <c r="E56" t="s">
        <v>53</v>
      </c>
      <c r="G56">
        <v>1300</v>
      </c>
      <c r="H56">
        <f t="shared" si="0"/>
        <v>78000</v>
      </c>
      <c r="M56" s="81">
        <v>45621</v>
      </c>
      <c r="N56">
        <v>50</v>
      </c>
      <c r="P56" s="79" t="s">
        <v>53</v>
      </c>
      <c r="Q56">
        <v>650</v>
      </c>
    </row>
    <row r="57" spans="3:17" x14ac:dyDescent="0.35">
      <c r="C57">
        <v>51</v>
      </c>
      <c r="D57" s="77">
        <v>45348</v>
      </c>
      <c r="E57" t="s">
        <v>53</v>
      </c>
      <c r="G57">
        <v>1000</v>
      </c>
      <c r="H57">
        <f t="shared" si="0"/>
        <v>60000</v>
      </c>
      <c r="M57" s="80">
        <v>45348</v>
      </c>
      <c r="N57">
        <v>51</v>
      </c>
      <c r="P57" s="78" t="s">
        <v>53</v>
      </c>
      <c r="Q57">
        <v>500</v>
      </c>
    </row>
    <row r="58" spans="3:17" x14ac:dyDescent="0.35">
      <c r="C58">
        <v>52</v>
      </c>
      <c r="D58" s="77">
        <v>45499</v>
      </c>
      <c r="E58" t="s">
        <v>54</v>
      </c>
      <c r="G58">
        <v>0.2</v>
      </c>
      <c r="H58">
        <f t="shared" si="0"/>
        <v>12</v>
      </c>
      <c r="M58" s="81">
        <v>45499</v>
      </c>
      <c r="N58">
        <v>52</v>
      </c>
      <c r="P58" s="79" t="s">
        <v>54</v>
      </c>
      <c r="Q58">
        <v>0.1</v>
      </c>
    </row>
    <row r="59" spans="3:17" x14ac:dyDescent="0.35">
      <c r="C59">
        <v>53</v>
      </c>
      <c r="D59" s="77">
        <v>45622</v>
      </c>
      <c r="E59" t="s">
        <v>53</v>
      </c>
      <c r="G59">
        <v>1000</v>
      </c>
      <c r="H59">
        <f t="shared" si="0"/>
        <v>60000</v>
      </c>
      <c r="M59" s="80">
        <v>45622</v>
      </c>
      <c r="N59">
        <v>53</v>
      </c>
      <c r="P59" s="78" t="s">
        <v>53</v>
      </c>
      <c r="Q59">
        <v>500</v>
      </c>
    </row>
    <row r="60" spans="3:17" x14ac:dyDescent="0.35">
      <c r="C60">
        <v>54</v>
      </c>
      <c r="D60" s="77">
        <v>45531</v>
      </c>
      <c r="E60" t="s">
        <v>54</v>
      </c>
      <c r="G60">
        <v>10</v>
      </c>
      <c r="H60">
        <f t="shared" si="0"/>
        <v>600</v>
      </c>
      <c r="M60" s="81">
        <v>45531</v>
      </c>
      <c r="N60">
        <v>54</v>
      </c>
      <c r="P60" t="s">
        <v>54</v>
      </c>
      <c r="Q60">
        <v>5</v>
      </c>
    </row>
    <row r="61" spans="3:17" x14ac:dyDescent="0.35">
      <c r="C61" t="s">
        <v>24</v>
      </c>
      <c r="G61">
        <f>SUBTOTAL(109,Epargne[montant])</f>
        <v>15399.1</v>
      </c>
      <c r="H61">
        <f>SUBTOTAL(109,Epargne[montant_CFA])</f>
        <v>923946</v>
      </c>
      <c r="M61" s="82" t="s">
        <v>24</v>
      </c>
      <c r="Q61">
        <f>SUBTOTAL(109,dime[montant])</f>
        <v>7699.55</v>
      </c>
    </row>
  </sheetData>
  <pageMargins left="0.7" right="0.7" top="0.75" bottom="0.75" header="0.3" footer="0.3"/>
  <tableParts count="2">
    <tablePart r:id="rId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87E0A-4B60-41B6-A7FF-6393148BC3C1}">
  <sheetPr codeName="Sheet7"/>
  <dimension ref="D7:H10"/>
  <sheetViews>
    <sheetView workbookViewId="0">
      <selection activeCell="D11" sqref="D11"/>
    </sheetView>
  </sheetViews>
  <sheetFormatPr defaultRowHeight="14.5" x14ac:dyDescent="0.35"/>
  <cols>
    <col min="7" max="7" width="17" customWidth="1"/>
    <col min="8" max="8" width="18.6328125" customWidth="1"/>
  </cols>
  <sheetData>
    <row r="7" spans="4:8" x14ac:dyDescent="0.35">
      <c r="D7" t="s">
        <v>115</v>
      </c>
      <c r="E7" t="s">
        <v>23</v>
      </c>
      <c r="F7" t="s">
        <v>22</v>
      </c>
      <c r="G7" t="s">
        <v>21</v>
      </c>
      <c r="H7" t="s">
        <v>173</v>
      </c>
    </row>
    <row r="8" spans="4:8" x14ac:dyDescent="0.35">
      <c r="D8">
        <v>1</v>
      </c>
    </row>
    <row r="9" spans="4:8" x14ac:dyDescent="0.35">
      <c r="D9">
        <v>2</v>
      </c>
    </row>
    <row r="10" spans="4:8" x14ac:dyDescent="0.35">
      <c r="D10">
        <v>12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1C998-B1C0-4F14-B792-730BEB3EC2BD}">
  <sheetPr codeName="Sheet2"/>
  <dimension ref="A1:V41"/>
  <sheetViews>
    <sheetView showGridLines="0" view="pageLayout" zoomScale="53" zoomScaleNormal="100" zoomScalePageLayoutView="53" workbookViewId="0">
      <selection activeCell="M3" sqref="M3:O5"/>
    </sheetView>
  </sheetViews>
  <sheetFormatPr defaultRowHeight="14.5" x14ac:dyDescent="0.35"/>
  <cols>
    <col min="4" max="4" width="2.26953125" customWidth="1"/>
    <col min="8" max="8" width="2.81640625" customWidth="1"/>
    <col min="12" max="12" width="2.90625" customWidth="1"/>
    <col min="21" max="21" width="10.81640625" bestFit="1" customWidth="1"/>
    <col min="22" max="22" width="8.26953125" bestFit="1" customWidth="1"/>
    <col min="26" max="26" width="2.54296875" customWidth="1"/>
    <col min="30" max="30" width="2.90625" customWidth="1"/>
    <col min="34" max="34" width="2.81640625" customWidth="1"/>
  </cols>
  <sheetData>
    <row r="1" spans="1:22" ht="89" customHeight="1" x14ac:dyDescent="0.35">
      <c r="A1" s="52" t="s">
        <v>86</v>
      </c>
      <c r="B1" s="53"/>
      <c r="C1" s="53"/>
      <c r="D1" s="53"/>
      <c r="E1" s="53"/>
      <c r="F1" s="53"/>
      <c r="G1" s="53"/>
      <c r="H1" s="53"/>
      <c r="I1" s="53"/>
      <c r="J1" s="53"/>
      <c r="K1" s="53"/>
      <c r="L1" s="53"/>
      <c r="M1" s="53"/>
      <c r="N1" s="53"/>
      <c r="O1" s="53"/>
      <c r="P1" s="53"/>
      <c r="Q1" s="53"/>
      <c r="R1" s="53"/>
      <c r="S1" s="53"/>
      <c r="T1" s="53"/>
      <c r="U1" s="53"/>
      <c r="V1" s="53"/>
    </row>
    <row r="2" spans="1:22" ht="15" thickBot="1" x14ac:dyDescent="0.4"/>
    <row r="3" spans="1:22" ht="14.5" customHeight="1" x14ac:dyDescent="0.35">
      <c r="A3" s="54" t="str">
        <f>GETPIVOTDATA("[Measures].[TotalRevenue]",charts!$A$88)&amp; " MAD"</f>
        <v>37267 MAD</v>
      </c>
      <c r="B3" s="55"/>
      <c r="C3" s="56"/>
      <c r="E3" s="54" t="str">
        <f>GETPIVOTDATA("[Measures].[TotalDepense]",charts!$A$88)&amp; " MAD"</f>
        <v>1772 MAD</v>
      </c>
      <c r="F3" s="55"/>
      <c r="G3" s="56"/>
      <c r="I3" s="54" t="str">
        <f>GETPIVOTDATA("[Measures].[TotalReste]",charts!$A$88)&amp; " MAD"</f>
        <v>35495 MAD</v>
      </c>
      <c r="J3" s="55"/>
      <c r="K3" s="56"/>
      <c r="M3" s="54" t="str">
        <f>charts!E89 &amp; " MAD"</f>
        <v>7099 MAD</v>
      </c>
      <c r="N3" s="55"/>
      <c r="O3" s="56"/>
    </row>
    <row r="4" spans="1:22" ht="14.5" customHeight="1" x14ac:dyDescent="0.35">
      <c r="A4" s="57"/>
      <c r="B4" s="58"/>
      <c r="C4" s="59"/>
      <c r="E4" s="57"/>
      <c r="F4" s="58"/>
      <c r="G4" s="59"/>
      <c r="I4" s="57"/>
      <c r="J4" s="58"/>
      <c r="K4" s="59"/>
      <c r="M4" s="57"/>
      <c r="N4" s="58"/>
      <c r="O4" s="59"/>
    </row>
    <row r="5" spans="1:22" ht="15" customHeight="1" thickBot="1" x14ac:dyDescent="0.4">
      <c r="A5" s="60"/>
      <c r="B5" s="61"/>
      <c r="C5" s="62"/>
      <c r="E5" s="60"/>
      <c r="F5" s="61"/>
      <c r="G5" s="62"/>
      <c r="I5" s="60"/>
      <c r="J5" s="61"/>
      <c r="K5" s="62"/>
      <c r="M5" s="60"/>
      <c r="N5" s="61"/>
      <c r="O5" s="62"/>
    </row>
    <row r="6" spans="1:22" ht="17.5" x14ac:dyDescent="0.35">
      <c r="A6" s="51" t="s">
        <v>87</v>
      </c>
      <c r="B6" s="51"/>
      <c r="C6" s="51"/>
      <c r="E6" s="51" t="s">
        <v>19</v>
      </c>
      <c r="F6" s="51"/>
      <c r="G6" s="51"/>
      <c r="I6" s="51" t="s">
        <v>39</v>
      </c>
      <c r="J6" s="51"/>
      <c r="K6" s="51"/>
      <c r="M6" s="51" t="s">
        <v>88</v>
      </c>
      <c r="N6" s="51"/>
      <c r="O6" s="51"/>
    </row>
    <row r="8" spans="1:22" x14ac:dyDescent="0.35">
      <c r="U8" s="13" t="s">
        <v>115</v>
      </c>
      <c r="V8" t="s">
        <v>99</v>
      </c>
    </row>
    <row r="9" spans="1:22" x14ac:dyDescent="0.35">
      <c r="U9" s="14" t="s">
        <v>91</v>
      </c>
      <c r="V9" s="63">
        <v>1772</v>
      </c>
    </row>
    <row r="10" spans="1:22" x14ac:dyDescent="0.35">
      <c r="U10" s="14" t="s">
        <v>42</v>
      </c>
      <c r="V10" s="63">
        <v>1772</v>
      </c>
    </row>
    <row r="21" spans="21:22" ht="15" thickBot="1" x14ac:dyDescent="0.4"/>
    <row r="22" spans="21:22" x14ac:dyDescent="0.35">
      <c r="U22" s="47"/>
      <c r="V22" s="48"/>
    </row>
    <row r="23" spans="21:22" ht="15" thickBot="1" x14ac:dyDescent="0.4">
      <c r="U23" s="49"/>
      <c r="V23" s="50"/>
    </row>
    <row r="25" spans="21:22" x14ac:dyDescent="0.35">
      <c r="U25" s="13" t="s">
        <v>115</v>
      </c>
      <c r="V25" t="s">
        <v>87</v>
      </c>
    </row>
    <row r="26" spans="21:22" x14ac:dyDescent="0.35">
      <c r="U26" s="14" t="s">
        <v>91</v>
      </c>
      <c r="V26" s="63">
        <v>37267</v>
      </c>
    </row>
    <row r="27" spans="21:22" x14ac:dyDescent="0.35">
      <c r="U27" s="14" t="s">
        <v>42</v>
      </c>
      <c r="V27" s="63">
        <v>37267</v>
      </c>
    </row>
    <row r="39" spans="21:22" ht="15" thickBot="1" x14ac:dyDescent="0.4"/>
    <row r="40" spans="21:22" x14ac:dyDescent="0.35">
      <c r="U40" s="47"/>
      <c r="V40" s="48"/>
    </row>
    <row r="41" spans="21:22" ht="15" thickBot="1" x14ac:dyDescent="0.4">
      <c r="U41" s="49"/>
      <c r="V41" s="50"/>
    </row>
  </sheetData>
  <mergeCells count="11">
    <mergeCell ref="U22:V23"/>
    <mergeCell ref="U40:V41"/>
    <mergeCell ref="M6:O6"/>
    <mergeCell ref="A1:V1"/>
    <mergeCell ref="A3:C5"/>
    <mergeCell ref="E3:G5"/>
    <mergeCell ref="A6:C6"/>
    <mergeCell ref="E6:G6"/>
    <mergeCell ref="I3:K5"/>
    <mergeCell ref="I6:K6"/>
    <mergeCell ref="M3:O5"/>
  </mergeCells>
  <conditionalFormatting pivot="1" sqref="V26">
    <cfRule type="colorScale" priority="2">
      <colorScale>
        <cfvo type="min"/>
        <cfvo type="percentile" val="50"/>
        <cfvo type="max"/>
        <color theme="0"/>
        <color rgb="FFFFEB84"/>
        <color rgb="FFFF9900"/>
      </colorScale>
    </cfRule>
  </conditionalFormatting>
  <conditionalFormatting pivot="1" sqref="V9">
    <cfRule type="colorScale" priority="1">
      <colorScale>
        <cfvo type="min"/>
        <cfvo type="percentile" val="50"/>
        <cfvo type="max"/>
        <color theme="0"/>
        <color rgb="FFFFEB84"/>
        <color rgb="FFFF9900"/>
      </colorScale>
    </cfRule>
  </conditionalFormatting>
  <pageMargins left="0.7" right="0.7" top="0.75" bottom="0.75" header="0.3" footer="0.3"/>
  <pageSetup paperSize="8" orientation="landscape" r:id="rId3"/>
  <headerFooter>
    <oddHeader>&amp;CHermann KAKPEU</oddHeader>
    <oddFooter>&amp;CBy  Hermann KAKPEU</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8195" r:id="rId6" name="Button 3">
              <controlPr defaultSize="0" print="0" autoFill="0" autoPict="0" macro="[0]!Button8_Click">
                <anchor moveWithCells="1" sizeWithCells="1">
                  <from>
                    <xdr:col>20</xdr:col>
                    <xdr:colOff>25400</xdr:colOff>
                    <xdr:row>38</xdr:row>
                    <xdr:rowOff>114300</xdr:rowOff>
                  </from>
                  <to>
                    <xdr:col>21</xdr:col>
                    <xdr:colOff>1244600</xdr:colOff>
                    <xdr:row>41</xdr:row>
                    <xdr:rowOff>25400</xdr:rowOff>
                  </to>
                </anchor>
              </controlPr>
            </control>
          </mc:Choice>
        </mc:AlternateContent>
        <mc:AlternateContent xmlns:mc="http://schemas.openxmlformats.org/markup-compatibility/2006">
          <mc:Choice Requires="x14">
            <control shapeId="8196" r:id="rId7" name="Button 4">
              <controlPr defaultSize="0" print="0" autoFill="0" autoPict="0" macro="[0]!Button9_Click">
                <anchor moveWithCells="1" sizeWithCells="1">
                  <from>
                    <xdr:col>20</xdr:col>
                    <xdr:colOff>25400</xdr:colOff>
                    <xdr:row>20</xdr:row>
                    <xdr:rowOff>158750</xdr:rowOff>
                  </from>
                  <to>
                    <xdr:col>21</xdr:col>
                    <xdr:colOff>1270000</xdr:colOff>
                    <xdr:row>23</xdr:row>
                    <xdr:rowOff>12700</xdr:rowOff>
                  </to>
                </anchor>
              </controlPr>
            </control>
          </mc:Choice>
        </mc:AlternateContent>
        <mc:AlternateContent xmlns:mc="http://schemas.openxmlformats.org/markup-compatibility/2006">
          <mc:Choice Requires="x14">
            <control shapeId="8198" r:id="rId8" name="Button 6">
              <controlPr defaultSize="0" print="0" autoFill="0" autoPict="0" macro="[0]!Rafraichir">
                <anchor moveWithCells="1" sizeWithCells="1">
                  <from>
                    <xdr:col>19</xdr:col>
                    <xdr:colOff>400050</xdr:colOff>
                    <xdr:row>0</xdr:row>
                    <xdr:rowOff>241300</xdr:rowOff>
                  </from>
                  <to>
                    <xdr:col>21</xdr:col>
                    <xdr:colOff>1047750</xdr:colOff>
                    <xdr:row>0</xdr:row>
                    <xdr:rowOff>908050</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2DB86-D75C-405F-9C41-E5C66AE84818}">
  <sheetPr codeName="Sheet8"/>
  <dimension ref="C5:G15"/>
  <sheetViews>
    <sheetView workbookViewId="0">
      <selection activeCell="D15" sqref="D15"/>
    </sheetView>
  </sheetViews>
  <sheetFormatPr defaultRowHeight="14.5" x14ac:dyDescent="0.35"/>
  <cols>
    <col min="3" max="4" width="19.08984375" customWidth="1"/>
    <col min="5" max="5" width="21.1796875" customWidth="1"/>
    <col min="7" max="7" width="13.90625" bestFit="1" customWidth="1"/>
  </cols>
  <sheetData>
    <row r="5" spans="3:7" x14ac:dyDescent="0.35">
      <c r="C5" t="s">
        <v>163</v>
      </c>
      <c r="D5" t="s">
        <v>164</v>
      </c>
      <c r="E5" t="s">
        <v>165</v>
      </c>
    </row>
    <row r="6" spans="3:7" x14ac:dyDescent="0.35">
      <c r="C6" t="s">
        <v>87</v>
      </c>
      <c r="D6" s="74">
        <f>G6</f>
        <v>153991</v>
      </c>
      <c r="E6">
        <f t="shared" ref="E6:E11" si="0">D6*60</f>
        <v>9239460</v>
      </c>
      <c r="G6" s="74">
        <f>revenuXYZ[[#Totals],[montant]]</f>
        <v>153991</v>
      </c>
    </row>
    <row r="7" spans="3:7" x14ac:dyDescent="0.35">
      <c r="C7" t="s">
        <v>166</v>
      </c>
      <c r="D7" s="74">
        <f>G7</f>
        <v>15399.1</v>
      </c>
      <c r="E7">
        <f t="shared" si="0"/>
        <v>923946</v>
      </c>
      <c r="G7" s="75">
        <f>G6*0.1</f>
        <v>15399.1</v>
      </c>
    </row>
    <row r="8" spans="3:7" x14ac:dyDescent="0.35">
      <c r="C8" t="s">
        <v>167</v>
      </c>
      <c r="D8" s="74">
        <f>G8</f>
        <v>30798.2</v>
      </c>
      <c r="E8">
        <f t="shared" si="0"/>
        <v>1847892</v>
      </c>
      <c r="G8" s="75">
        <f>G6*0.2</f>
        <v>30798.2</v>
      </c>
    </row>
    <row r="9" spans="3:7" x14ac:dyDescent="0.35">
      <c r="C9" t="s">
        <v>168</v>
      </c>
      <c r="D9" s="74">
        <f>G9</f>
        <v>44805</v>
      </c>
      <c r="E9">
        <f t="shared" si="0"/>
        <v>2688300</v>
      </c>
      <c r="G9" s="76">
        <f>depense[[#Totals],[montant]]</f>
        <v>44805</v>
      </c>
    </row>
    <row r="10" spans="3:7" x14ac:dyDescent="0.35">
      <c r="C10" t="s">
        <v>39</v>
      </c>
      <c r="D10" s="74">
        <f>D6-D9</f>
        <v>109186</v>
      </c>
      <c r="E10">
        <f t="shared" si="0"/>
        <v>6551160</v>
      </c>
      <c r="G10" s="75">
        <f>G6-G9</f>
        <v>109186</v>
      </c>
    </row>
    <row r="11" spans="3:7" x14ac:dyDescent="0.35">
      <c r="C11" t="s">
        <v>88</v>
      </c>
      <c r="D11" s="74">
        <f>G11</f>
        <v>15399.1</v>
      </c>
      <c r="E11">
        <f t="shared" si="0"/>
        <v>923946</v>
      </c>
      <c r="G11">
        <f>Epargne[[#Totals],[montant]]</f>
        <v>15399.1</v>
      </c>
    </row>
    <row r="12" spans="3:7" x14ac:dyDescent="0.35">
      <c r="C12" t="s">
        <v>169</v>
      </c>
      <c r="D12" s="74">
        <f>D10-D11</f>
        <v>93786.9</v>
      </c>
      <c r="E12">
        <f>D12*60</f>
        <v>5627214</v>
      </c>
      <c r="G12" s="75">
        <f>G10-G11</f>
        <v>93786.9</v>
      </c>
    </row>
    <row r="13" spans="3:7" x14ac:dyDescent="0.35">
      <c r="C13" t="s">
        <v>37</v>
      </c>
      <c r="D13" s="74">
        <f>G13</f>
        <v>7699.55</v>
      </c>
      <c r="E13">
        <f>D13*60</f>
        <v>461973</v>
      </c>
      <c r="G13">
        <f>dime[[#Totals],[montant]]</f>
        <v>7699.55</v>
      </c>
    </row>
    <row r="14" spans="3:7" x14ac:dyDescent="0.35">
      <c r="C14" t="s">
        <v>161</v>
      </c>
      <c r="D14" s="74">
        <f>D12-D15</f>
        <v>92786.9</v>
      </c>
      <c r="E14" s="75">
        <f>D14*60</f>
        <v>5567214</v>
      </c>
    </row>
    <row r="15" spans="3:7" x14ac:dyDescent="0.35">
      <c r="C15" t="s">
        <v>170</v>
      </c>
      <c r="D15" s="74">
        <v>1000</v>
      </c>
      <c r="E15" s="75">
        <f>D15*60</f>
        <v>60000</v>
      </c>
      <c r="G15" t="s">
        <v>174</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Props1.xml><?xml version="1.0" encoding="utf-8"?>
<ds:datastoreItem xmlns:ds="http://schemas.openxmlformats.org/officeDocument/2006/customXml" ds:itemID="{2F0727AF-4104-4917-917A-635FDD722647}">
  <ds:schemaRefs/>
</ds:datastoreItem>
</file>

<file path=customXml/itemProps2.xml><?xml version="1.0" encoding="utf-8"?>
<ds:datastoreItem xmlns:ds="http://schemas.openxmlformats.org/officeDocument/2006/customXml" ds:itemID="{1CE0D231-4152-4EF3-8CF1-33F1F6E2157D}">
  <ds:schemaRefs/>
</ds:datastoreItem>
</file>

<file path=customXml/itemProps3.xml><?xml version="1.0" encoding="utf-8"?>
<ds:datastoreItem xmlns:ds="http://schemas.openxmlformats.org/officeDocument/2006/customXml" ds:itemID="{FB2C1C9D-0175-454E-9D67-0CC538704AA7}">
  <ds:schemaRefs/>
</ds:datastoreItem>
</file>

<file path=customXml/itemProps4.xml><?xml version="1.0" encoding="utf-8"?>
<ds:datastoreItem xmlns:ds="http://schemas.openxmlformats.org/officeDocument/2006/customXml" ds:itemID="{AB8BCA49-39D0-43C8-BDEA-C8DD578C1C07}">
  <ds:schemaRefs/>
</ds:datastoreItem>
</file>

<file path=customXml/itemProps5.xml><?xml version="1.0" encoding="utf-8"?>
<ds:datastoreItem xmlns:ds="http://schemas.openxmlformats.org/officeDocument/2006/customXml" ds:itemID="{5B284616-C55D-430A-935D-5FE0CDB1B9D8}">
  <ds:schemaRefs/>
</ds:datastoreItem>
</file>

<file path=customXml/itemProps6.xml><?xml version="1.0" encoding="utf-8"?>
<ds:datastoreItem xmlns:ds="http://schemas.openxmlformats.org/officeDocument/2006/customXml" ds:itemID="{E0BD1211-0540-4418-87B3-7849D25D2148}">
  <ds:schemaRefs/>
</ds:datastoreItem>
</file>

<file path=customXml/itemProps7.xml><?xml version="1.0" encoding="utf-8"?>
<ds:datastoreItem xmlns:ds="http://schemas.openxmlformats.org/officeDocument/2006/customXml" ds:itemID="{5EA6E8A1-4D9E-4BFA-A097-D9E24DA0ED57}">
  <ds:schemaRefs/>
</ds:datastoreItem>
</file>

<file path=customXml/itemProps8.xml><?xml version="1.0" encoding="utf-8"?>
<ds:datastoreItem xmlns:ds="http://schemas.openxmlformats.org/officeDocument/2006/customXml" ds:itemID="{F3581703-FBBE-4F1E-A75F-45C2302A237F}">
  <ds:schemaRefs/>
</ds:datastoreItem>
</file>

<file path=customXml/itemProps9.xml><?xml version="1.0" encoding="utf-8"?>
<ds:datastoreItem xmlns:ds="http://schemas.openxmlformats.org/officeDocument/2006/customXml" ds:itemID="{6985E032-1607-4701-A2DE-BA457340DD1F}">
  <ds:schemaRefs/>
</ds:datastoreItem>
</file>

<file path=customXml/itemProps10.xml><?xml version="1.0" encoding="utf-8"?>
<ds:datastoreItem xmlns:ds="http://schemas.openxmlformats.org/officeDocument/2006/customXml" ds:itemID="{1D35021A-8F1D-428F-8417-1E2AE8E1F282}">
  <ds:schemaRefs/>
</ds:datastoreItem>
</file>

<file path=customXml/itemProps11.xml><?xml version="1.0" encoding="utf-8"?>
<ds:datastoreItem xmlns:ds="http://schemas.openxmlformats.org/officeDocument/2006/customXml" ds:itemID="{D073279D-ABA5-47DC-B1F5-A42EAA90F47E}">
  <ds:schemaRefs/>
</ds:datastoreItem>
</file>

<file path=customXml/itemProps12.xml><?xml version="1.0" encoding="utf-8"?>
<ds:datastoreItem xmlns:ds="http://schemas.openxmlformats.org/officeDocument/2006/customXml" ds:itemID="{8CEB1163-2474-49EE-AD40-A6F827D6A612}">
  <ds:schemaRefs/>
</ds:datastoreItem>
</file>

<file path=customXml/itemProps13.xml><?xml version="1.0" encoding="utf-8"?>
<ds:datastoreItem xmlns:ds="http://schemas.openxmlformats.org/officeDocument/2006/customXml" ds:itemID="{BCD44530-BD85-47F0-A725-D8EBB46E5FB7}">
  <ds:schemaRefs/>
</ds:datastoreItem>
</file>

<file path=customXml/itemProps14.xml><?xml version="1.0" encoding="utf-8"?>
<ds:datastoreItem xmlns:ds="http://schemas.openxmlformats.org/officeDocument/2006/customXml" ds:itemID="{35A043CE-2BDA-4902-A48B-381038F8686C}">
  <ds:schemaRefs/>
</ds:datastoreItem>
</file>

<file path=customXml/itemProps15.xml><?xml version="1.0" encoding="utf-8"?>
<ds:datastoreItem xmlns:ds="http://schemas.openxmlformats.org/officeDocument/2006/customXml" ds:itemID="{505A1E3A-AC39-47BD-B794-F0FA039AA757}">
  <ds:schemaRefs/>
</ds:datastoreItem>
</file>

<file path=customXml/itemProps16.xml><?xml version="1.0" encoding="utf-8"?>
<ds:datastoreItem xmlns:ds="http://schemas.openxmlformats.org/officeDocument/2006/customXml" ds:itemID="{3E2530B1-1580-44BE-84B0-678565BBC9E0}">
  <ds:schemaRefs/>
</ds:datastoreItem>
</file>

<file path=customXml/itemProps17.xml><?xml version="1.0" encoding="utf-8"?>
<ds:datastoreItem xmlns:ds="http://schemas.openxmlformats.org/officeDocument/2006/customXml" ds:itemID="{6A1D70B2-50AA-4295-B7BF-9BFEB847C5E5}">
  <ds:schemaRefs/>
</ds:datastoreItem>
</file>

<file path=customXml/itemProps18.xml><?xml version="1.0" encoding="utf-8"?>
<ds:datastoreItem xmlns:ds="http://schemas.openxmlformats.org/officeDocument/2006/customXml" ds:itemID="{E32F5997-9D05-46A0-B89E-F8D467799163}">
  <ds:schemaRefs/>
</ds:datastoreItem>
</file>

<file path=customXml/itemProps19.xml><?xml version="1.0" encoding="utf-8"?>
<ds:datastoreItem xmlns:ds="http://schemas.openxmlformats.org/officeDocument/2006/customXml" ds:itemID="{BBC71DE2-7F05-4DF3-8001-6431ECA1119C}">
  <ds:schemaRefs/>
</ds:datastoreItem>
</file>

<file path=customXml/itemProps20.xml><?xml version="1.0" encoding="utf-8"?>
<ds:datastoreItem xmlns:ds="http://schemas.openxmlformats.org/officeDocument/2006/customXml" ds:itemID="{0AC0F7FB-CE18-4617-84C0-F1EEB727E733}">
  <ds:schemaRefs/>
</ds:datastoreItem>
</file>

<file path=customXml/itemProps21.xml><?xml version="1.0" encoding="utf-8"?>
<ds:datastoreItem xmlns:ds="http://schemas.openxmlformats.org/officeDocument/2006/customXml" ds:itemID="{2C5743F9-651C-45F9-A268-055E349C9A8B}">
  <ds:schemaRefs/>
</ds:datastoreItem>
</file>

<file path=customXml/itemProps22.xml><?xml version="1.0" encoding="utf-8"?>
<ds:datastoreItem xmlns:ds="http://schemas.openxmlformats.org/officeDocument/2006/customXml" ds:itemID="{FE1DCD3D-CB05-4492-B296-E1B2106B18F2}">
  <ds:schemaRefs>
    <ds:schemaRef ds:uri="http://schemas.microsoft.com/DataMashup"/>
  </ds:schemaRefs>
</ds:datastoreItem>
</file>

<file path=customXml/itemProps23.xml><?xml version="1.0" encoding="utf-8"?>
<ds:datastoreItem xmlns:ds="http://schemas.openxmlformats.org/officeDocument/2006/customXml" ds:itemID="{25A294EF-06C6-4EF9-A009-4CE26C18C548}">
  <ds:schemaRefs/>
</ds:datastoreItem>
</file>

<file path=customXml/itemProps24.xml><?xml version="1.0" encoding="utf-8"?>
<ds:datastoreItem xmlns:ds="http://schemas.openxmlformats.org/officeDocument/2006/customXml" ds:itemID="{48708D94-1382-4DA6-9CCF-2B9FB25FF945}">
  <ds:schemaRefs/>
</ds:datastoreItem>
</file>

<file path=customXml/itemProps25.xml><?xml version="1.0" encoding="utf-8"?>
<ds:datastoreItem xmlns:ds="http://schemas.openxmlformats.org/officeDocument/2006/customXml" ds:itemID="{455AF3D9-B086-41F6-9253-D6784E9B4B0C}">
  <ds:schemaRefs/>
</ds:datastoreItem>
</file>

<file path=customXml/itemProps26.xml><?xml version="1.0" encoding="utf-8"?>
<ds:datastoreItem xmlns:ds="http://schemas.openxmlformats.org/officeDocument/2006/customXml" ds:itemID="{C33AEB6A-38F0-43E8-B8B6-7EDC36C74F3F}">
  <ds:schemaRefs/>
</ds:datastoreItem>
</file>

<file path=customXml/itemProps27.xml><?xml version="1.0" encoding="utf-8"?>
<ds:datastoreItem xmlns:ds="http://schemas.openxmlformats.org/officeDocument/2006/customXml" ds:itemID="{6A311479-DBC5-423E-87B8-8F3D0E2D974F}">
  <ds:schemaRefs/>
</ds:datastoreItem>
</file>

<file path=customXml/itemProps28.xml><?xml version="1.0" encoding="utf-8"?>
<ds:datastoreItem xmlns:ds="http://schemas.openxmlformats.org/officeDocument/2006/customXml" ds:itemID="{96E297A3-57FC-4BB4-8B18-9E962DFF0874}">
  <ds:schemaRefs/>
</ds:datastoreItem>
</file>

<file path=customXml/itemProps29.xml><?xml version="1.0" encoding="utf-8"?>
<ds:datastoreItem xmlns:ds="http://schemas.openxmlformats.org/officeDocument/2006/customXml" ds:itemID="{C0D998DE-080F-4AEE-B5A8-5A29E20DC0D7}">
  <ds:schemaRefs/>
</ds:datastoreItem>
</file>

<file path=customXml/itemProps30.xml><?xml version="1.0" encoding="utf-8"?>
<ds:datastoreItem xmlns:ds="http://schemas.openxmlformats.org/officeDocument/2006/customXml" ds:itemID="{529DC61E-E11A-48FE-AB66-2D1341B2AD7C}">
  <ds:schemaRefs/>
</ds:datastoreItem>
</file>

<file path=customXml/itemProps31.xml><?xml version="1.0" encoding="utf-8"?>
<ds:datastoreItem xmlns:ds="http://schemas.openxmlformats.org/officeDocument/2006/customXml" ds:itemID="{AA1A06BB-6C19-49AC-8871-B19DEF8A4887}">
  <ds:schemaRefs/>
</ds:datastoreItem>
</file>

<file path=customXml/itemProps32.xml><?xml version="1.0" encoding="utf-8"?>
<ds:datastoreItem xmlns:ds="http://schemas.openxmlformats.org/officeDocument/2006/customXml" ds:itemID="{1DEE90DB-47F1-4F47-BA2A-6203118066D9}">
  <ds:schemaRefs/>
</ds:datastoreItem>
</file>

<file path=customXml/itemProps33.xml><?xml version="1.0" encoding="utf-8"?>
<ds:datastoreItem xmlns:ds="http://schemas.openxmlformats.org/officeDocument/2006/customXml" ds:itemID="{E03CAB7C-2765-4ADC-83FB-DEE24381C3BB}">
  <ds:schemaRefs/>
</ds:datastoreItem>
</file>

<file path=customXml/itemProps34.xml><?xml version="1.0" encoding="utf-8"?>
<ds:datastoreItem xmlns:ds="http://schemas.openxmlformats.org/officeDocument/2006/customXml" ds:itemID="{4F01C155-4938-49C2-93F1-9AB692FFF78E}">
  <ds:schemaRefs/>
</ds:datastoreItem>
</file>

<file path=customXml/itemProps35.xml><?xml version="1.0" encoding="utf-8"?>
<ds:datastoreItem xmlns:ds="http://schemas.openxmlformats.org/officeDocument/2006/customXml" ds:itemID="{6982848F-2127-494B-8C34-D09986433E3D}">
  <ds:schemaRefs/>
</ds:datastoreItem>
</file>

<file path=customXml/itemProps36.xml><?xml version="1.0" encoding="utf-8"?>
<ds:datastoreItem xmlns:ds="http://schemas.openxmlformats.org/officeDocument/2006/customXml" ds:itemID="{E226F5ED-0E4D-4438-B01B-18D5EFA045A8}">
  <ds:schemaRefs/>
</ds:datastoreItem>
</file>

<file path=customXml/itemProps37.xml><?xml version="1.0" encoding="utf-8"?>
<ds:datastoreItem xmlns:ds="http://schemas.openxmlformats.org/officeDocument/2006/customXml" ds:itemID="{A1E3A6C9-9A42-4D86-9BE3-2F2356EE4FF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Rapport</vt:lpstr>
      <vt:lpstr>charts</vt:lpstr>
      <vt:lpstr>Date</vt:lpstr>
      <vt:lpstr>Revenue</vt:lpstr>
      <vt:lpstr>Depense</vt:lpstr>
      <vt:lpstr>Epargne</vt:lpstr>
      <vt:lpstr>Budget</vt:lpstr>
      <vt:lpstr>Dashboard</vt:lpstr>
      <vt:lpstr>Calculs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Hermann Desire Kakpeu</dc:creator>
  <cp:lastModifiedBy>Hermann Desire Kakpeu</cp:lastModifiedBy>
  <cp:lastPrinted>2024-07-31T18:34:08Z</cp:lastPrinted>
  <dcterms:created xsi:type="dcterms:W3CDTF">2024-06-05T13:46:32Z</dcterms:created>
  <dcterms:modified xsi:type="dcterms:W3CDTF">2024-07-31T19:07:00Z</dcterms:modified>
</cp:coreProperties>
</file>