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QUID\"/>
    </mc:Choice>
  </mc:AlternateContent>
  <xr:revisionPtr revIDLastSave="0" documentId="13_ncr:1_{8F0EF60A-E562-451B-8049-58892EE8A9BE}" xr6:coauthVersionLast="47" xr6:coauthVersionMax="47" xr10:uidLastSave="{00000000-0000-0000-0000-000000000000}"/>
  <bookViews>
    <workbookView xWindow="-120" yWindow="-120" windowWidth="20730" windowHeight="11160" activeTab="1" xr2:uid="{2F8FC336-4784-40EA-A98D-DEA580E1A53F}"/>
  </bookViews>
  <sheets>
    <sheet name="vdW volumes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8" i="2" s="1"/>
  <c r="I9" i="2" s="1"/>
  <c r="I10" i="2" s="1"/>
  <c r="F6" i="2"/>
  <c r="J6" i="2"/>
  <c r="J8" i="2" s="1"/>
  <c r="J9" i="2" s="1"/>
  <c r="J10" i="2" s="1"/>
  <c r="H6" i="2"/>
  <c r="H8" i="2" s="1"/>
  <c r="H9" i="2" s="1"/>
  <c r="H10" i="2" s="1"/>
  <c r="G6" i="2"/>
  <c r="G8" i="2" s="1"/>
  <c r="G9" i="2" s="1"/>
  <c r="G10" i="2" s="1"/>
  <c r="E6" i="2"/>
  <c r="E8" i="2" s="1"/>
  <c r="E9" i="2" s="1"/>
  <c r="E10" i="2" s="1"/>
  <c r="D6" i="2"/>
  <c r="D8" i="2" s="1"/>
  <c r="D9" i="2" s="1"/>
  <c r="D10" i="2" s="1"/>
  <c r="C6" i="2"/>
  <c r="B23" i="2"/>
  <c r="C24" i="2"/>
  <c r="C23" i="2"/>
  <c r="B24" i="2"/>
  <c r="F8" i="2"/>
  <c r="F9" i="2" s="1"/>
  <c r="F10" i="2" s="1"/>
  <c r="C8" i="2"/>
  <c r="C9" i="2" s="1"/>
  <c r="L38" i="1"/>
  <c r="L37" i="1"/>
  <c r="C35" i="1"/>
  <c r="H38" i="1"/>
  <c r="K38" i="1" s="1"/>
  <c r="H37" i="1"/>
  <c r="K37" i="1" s="1"/>
  <c r="L32" i="1"/>
  <c r="L31" i="1"/>
  <c r="C29" i="1"/>
  <c r="H32" i="1"/>
  <c r="K32" i="1" s="1"/>
  <c r="H31" i="1"/>
  <c r="K31" i="1" s="1"/>
  <c r="L26" i="1"/>
  <c r="M26" i="1" s="1"/>
  <c r="L25" i="1"/>
  <c r="M25" i="1" s="1"/>
  <c r="C23" i="1"/>
  <c r="H26" i="1"/>
  <c r="K26" i="1" s="1"/>
  <c r="H25" i="1"/>
  <c r="K25" i="1" s="1"/>
  <c r="L19" i="1"/>
  <c r="L20" i="1"/>
  <c r="M20" i="1" s="1"/>
  <c r="M19" i="1"/>
  <c r="C17" i="1"/>
  <c r="H20" i="1"/>
  <c r="K20" i="1" s="1"/>
  <c r="H19" i="1"/>
  <c r="K19" i="1" s="1"/>
  <c r="L13" i="1"/>
  <c r="L12" i="1"/>
  <c r="C10" i="1"/>
  <c r="H13" i="1"/>
  <c r="K13" i="1" s="1"/>
  <c r="H12" i="1"/>
  <c r="K12" i="1" s="1"/>
  <c r="M6" i="1"/>
  <c r="M5" i="1"/>
  <c r="L6" i="1"/>
  <c r="L5" i="1"/>
  <c r="C3" i="1"/>
  <c r="H6" i="1"/>
  <c r="K6" i="1" s="1"/>
  <c r="H5" i="1"/>
  <c r="K5" i="1" s="1"/>
  <c r="C10" i="2" l="1"/>
  <c r="D18" i="2"/>
  <c r="M37" i="1"/>
  <c r="M38" i="1"/>
  <c r="M31" i="1"/>
  <c r="M32" i="1"/>
  <c r="M12" i="1"/>
  <c r="M13" i="1"/>
</calcChain>
</file>

<file path=xl/sharedStrings.xml><?xml version="1.0" encoding="utf-8"?>
<sst xmlns="http://schemas.openxmlformats.org/spreadsheetml/2006/main" count="149" uniqueCount="45">
  <si>
    <t>van der waals volumes of M-NDI</t>
  </si>
  <si>
    <t>La</t>
  </si>
  <si>
    <t>formula</t>
  </si>
  <si>
    <t>La2C54H70N12O18</t>
  </si>
  <si>
    <t>with 4 water</t>
  </si>
  <si>
    <t>La2C54H78N12O22</t>
  </si>
  <si>
    <t>M</t>
  </si>
  <si>
    <t>C</t>
  </si>
  <si>
    <t>H</t>
  </si>
  <si>
    <t>N</t>
  </si>
  <si>
    <t>O</t>
  </si>
  <si>
    <t>number of atoms</t>
  </si>
  <si>
    <t>number of aromatic rings</t>
  </si>
  <si>
    <t>number of non-aromaitc rings</t>
  </si>
  <si>
    <t>number of bonds</t>
  </si>
  <si>
    <t>atom contributions</t>
  </si>
  <si>
    <t>contributions /A^3</t>
  </si>
  <si>
    <t>VdW volume</t>
  </si>
  <si>
    <t>Dy</t>
  </si>
  <si>
    <t>Ho</t>
  </si>
  <si>
    <t>Er</t>
  </si>
  <si>
    <t>Lu</t>
  </si>
  <si>
    <t>emu</t>
  </si>
  <si>
    <t>magnetization</t>
  </si>
  <si>
    <t>sample mass</t>
  </si>
  <si>
    <t>MW</t>
  </si>
  <si>
    <t>number of moles</t>
  </si>
  <si>
    <t>V (NDI)</t>
  </si>
  <si>
    <t>mg</t>
  </si>
  <si>
    <t>Gd</t>
  </si>
  <si>
    <t>Tb</t>
  </si>
  <si>
    <t>Y</t>
  </si>
  <si>
    <t>g/mol</t>
  </si>
  <si>
    <t>mol</t>
  </si>
  <si>
    <t>m^3</t>
  </si>
  <si>
    <t>mm^3</t>
  </si>
  <si>
    <t>h</t>
  </si>
  <si>
    <t>oe</t>
  </si>
  <si>
    <t>A/m</t>
  </si>
  <si>
    <t>µA / m</t>
  </si>
  <si>
    <t>ok</t>
  </si>
  <si>
    <t>mass (NDI) water correction</t>
  </si>
  <si>
    <t>water correction</t>
  </si>
  <si>
    <t>fit correction</t>
  </si>
  <si>
    <t>CW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</si>
</sst>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987F6-A11A-46B7-9AAD-B3D04A4D249C}">
  <dimension ref="A1:M38"/>
  <sheetViews>
    <sheetView workbookViewId="0">
      <selection activeCell="B23" sqref="B23"/>
    </sheetView>
  </sheetViews>
  <sheetFormatPr baseColWidth="10" defaultRowHeight="15" x14ac:dyDescent="0.25"/>
  <cols>
    <col min="1" max="1" width="29.85546875" bestFit="1" customWidth="1"/>
    <col min="2" max="2" width="17.28515625" bestFit="1" customWidth="1"/>
    <col min="8" max="8" width="16.28515625" bestFit="1" customWidth="1"/>
    <col min="9" max="9" width="23.42578125" bestFit="1" customWidth="1"/>
    <col min="10" max="10" width="27.7109375" bestFit="1" customWidth="1"/>
    <col min="11" max="11" width="16.28515625" bestFit="1" customWidth="1"/>
    <col min="12" max="12" width="18" bestFit="1" customWidth="1"/>
    <col min="13" max="13" width="12.5703125" bestFit="1" customWidth="1"/>
  </cols>
  <sheetData>
    <row r="1" spans="1:13" x14ac:dyDescent="0.25">
      <c r="A1" t="s">
        <v>0</v>
      </c>
    </row>
    <row r="3" spans="1:13" x14ac:dyDescent="0.25">
      <c r="A3" t="s">
        <v>16</v>
      </c>
      <c r="C3">
        <f>4/3*PI()*1.3^3</f>
        <v>9.202772079915702</v>
      </c>
      <c r="D3">
        <v>20.58</v>
      </c>
      <c r="E3">
        <v>7.24</v>
      </c>
      <c r="F3">
        <v>15.6</v>
      </c>
      <c r="G3">
        <v>14.71</v>
      </c>
    </row>
    <row r="4" spans="1:13" x14ac:dyDescent="0.25">
      <c r="B4" t="s">
        <v>2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s="1" t="s">
        <v>17</v>
      </c>
    </row>
    <row r="5" spans="1:13" x14ac:dyDescent="0.25">
      <c r="A5" s="1" t="s">
        <v>1</v>
      </c>
      <c r="B5" t="s">
        <v>3</v>
      </c>
      <c r="C5">
        <v>2</v>
      </c>
      <c r="D5">
        <v>54</v>
      </c>
      <c r="E5">
        <v>70</v>
      </c>
      <c r="F5">
        <v>12</v>
      </c>
      <c r="G5">
        <v>18</v>
      </c>
      <c r="H5">
        <f>SUM(C5:G5)</f>
        <v>156</v>
      </c>
      <c r="I5">
        <v>2</v>
      </c>
      <c r="J5">
        <v>4</v>
      </c>
      <c r="K5">
        <f>H5-1+I5+J5</f>
        <v>161</v>
      </c>
      <c r="L5">
        <f>C5*$C$3+D5*$D$3+E5*$E$3+F5*$F$3+G5*$G$3</f>
        <v>2088.5055441598315</v>
      </c>
      <c r="M5">
        <f>L5-5.92*K5-14.7*I5-3.8*J5</f>
        <v>1090.7855441598315</v>
      </c>
    </row>
    <row r="6" spans="1:13" x14ac:dyDescent="0.25">
      <c r="A6" s="1" t="s">
        <v>4</v>
      </c>
      <c r="B6" t="s">
        <v>5</v>
      </c>
      <c r="C6">
        <v>2</v>
      </c>
      <c r="D6">
        <v>54</v>
      </c>
      <c r="E6">
        <v>78</v>
      </c>
      <c r="F6">
        <v>12</v>
      </c>
      <c r="G6">
        <v>22</v>
      </c>
      <c r="H6">
        <f>SUM(C6:G6)</f>
        <v>168</v>
      </c>
      <c r="I6">
        <v>2</v>
      </c>
      <c r="J6">
        <v>4</v>
      </c>
      <c r="K6">
        <f>H6-1+I6+J6</f>
        <v>173</v>
      </c>
      <c r="L6">
        <f>C6*$C$3+D6*$D$3+E6*$E$3+F6*$F$3+G6*$G$3</f>
        <v>2205.2655441598313</v>
      </c>
      <c r="M6">
        <f>L6-5.92*K6-14.7*I6-3.8*J6</f>
        <v>1136.5055441598311</v>
      </c>
    </row>
    <row r="10" spans="1:13" x14ac:dyDescent="0.25">
      <c r="A10" t="s">
        <v>16</v>
      </c>
      <c r="C10">
        <f>4/3*PI()*0.912^3</f>
        <v>3.177409021521945</v>
      </c>
      <c r="D10">
        <v>20.58</v>
      </c>
      <c r="E10">
        <v>7.24</v>
      </c>
      <c r="F10">
        <v>15.6</v>
      </c>
      <c r="G10">
        <v>14.71</v>
      </c>
    </row>
    <row r="11" spans="1:13" x14ac:dyDescent="0.25">
      <c r="B11" t="s">
        <v>2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 t="s">
        <v>13</v>
      </c>
      <c r="K11" t="s">
        <v>14</v>
      </c>
      <c r="L11" t="s">
        <v>15</v>
      </c>
      <c r="M11" s="1" t="s">
        <v>17</v>
      </c>
    </row>
    <row r="12" spans="1:13" x14ac:dyDescent="0.25">
      <c r="A12" s="1" t="s">
        <v>18</v>
      </c>
      <c r="B12" t="s">
        <v>3</v>
      </c>
      <c r="C12">
        <v>2</v>
      </c>
      <c r="D12">
        <v>54</v>
      </c>
      <c r="E12">
        <v>70</v>
      </c>
      <c r="F12">
        <v>12</v>
      </c>
      <c r="G12">
        <v>18</v>
      </c>
      <c r="H12">
        <f>SUM(C12:G12)</f>
        <v>156</v>
      </c>
      <c r="I12">
        <v>2</v>
      </c>
      <c r="J12">
        <v>4</v>
      </c>
      <c r="K12">
        <f>H12-1+I12+J12</f>
        <v>161</v>
      </c>
      <c r="L12">
        <f>C12*$C$10+D12*$D$3+E12*$E$3+F12*$F$3+G12*$G$3</f>
        <v>2076.4548180430438</v>
      </c>
      <c r="M12">
        <f>L12-5.92*K12-14.7*I12-3.8*J12</f>
        <v>1078.7348180430438</v>
      </c>
    </row>
    <row r="13" spans="1:13" x14ac:dyDescent="0.25">
      <c r="A13" s="1" t="s">
        <v>4</v>
      </c>
      <c r="B13" t="s">
        <v>5</v>
      </c>
      <c r="C13">
        <v>2</v>
      </c>
      <c r="D13">
        <v>54</v>
      </c>
      <c r="E13">
        <v>78</v>
      </c>
      <c r="F13">
        <v>12</v>
      </c>
      <c r="G13">
        <v>22</v>
      </c>
      <c r="H13">
        <f>SUM(C13:G13)</f>
        <v>168</v>
      </c>
      <c r="I13">
        <v>2</v>
      </c>
      <c r="J13">
        <v>4</v>
      </c>
      <c r="K13">
        <f>H13-1+I13+J13</f>
        <v>173</v>
      </c>
      <c r="L13">
        <f>C13*$C$10+D13*$D$3+E13*$E$3+F13*$F$3+G13*$G$3</f>
        <v>2193.214818043044</v>
      </c>
      <c r="M13">
        <f>L13-5.92*K13-14.7*I13-3.8*J13</f>
        <v>1124.4548180430438</v>
      </c>
    </row>
    <row r="17" spans="1:13" x14ac:dyDescent="0.25">
      <c r="A17" t="s">
        <v>16</v>
      </c>
      <c r="C17">
        <f>4/3*PI()*0.901^3</f>
        <v>3.0638181334092529</v>
      </c>
      <c r="D17">
        <v>20.58</v>
      </c>
      <c r="E17">
        <v>7.24</v>
      </c>
      <c r="F17">
        <v>15.6</v>
      </c>
      <c r="G17">
        <v>14.71</v>
      </c>
    </row>
    <row r="18" spans="1:13" x14ac:dyDescent="0.25">
      <c r="B18" t="s">
        <v>2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  <c r="J18" t="s">
        <v>13</v>
      </c>
      <c r="K18" t="s">
        <v>14</v>
      </c>
      <c r="L18" t="s">
        <v>15</v>
      </c>
      <c r="M18" s="1" t="s">
        <v>17</v>
      </c>
    </row>
    <row r="19" spans="1:13" x14ac:dyDescent="0.25">
      <c r="A19" s="1" t="s">
        <v>19</v>
      </c>
      <c r="B19" t="s">
        <v>3</v>
      </c>
      <c r="C19">
        <v>2</v>
      </c>
      <c r="D19">
        <v>54</v>
      </c>
      <c r="E19">
        <v>70</v>
      </c>
      <c r="F19">
        <v>12</v>
      </c>
      <c r="G19">
        <v>18</v>
      </c>
      <c r="H19">
        <f>SUM(C19:G19)</f>
        <v>156</v>
      </c>
      <c r="I19">
        <v>2</v>
      </c>
      <c r="J19">
        <v>4</v>
      </c>
      <c r="K19">
        <f>H19-1+I19+J19</f>
        <v>161</v>
      </c>
      <c r="L19">
        <f>C19*$C$17+D19*$D$3+E19*$E$3+F19*$F$3+G19*$G$3</f>
        <v>2076.2276362668185</v>
      </c>
      <c r="M19">
        <f>L19-5.92*K19-14.7*I19-3.8*J19</f>
        <v>1078.5076362668185</v>
      </c>
    </row>
    <row r="20" spans="1:13" x14ac:dyDescent="0.25">
      <c r="A20" s="1" t="s">
        <v>4</v>
      </c>
      <c r="B20" t="s">
        <v>5</v>
      </c>
      <c r="C20">
        <v>2</v>
      </c>
      <c r="D20">
        <v>54</v>
      </c>
      <c r="E20">
        <v>78</v>
      </c>
      <c r="F20">
        <v>12</v>
      </c>
      <c r="G20">
        <v>22</v>
      </c>
      <c r="H20">
        <f>SUM(C20:G20)</f>
        <v>168</v>
      </c>
      <c r="I20">
        <v>2</v>
      </c>
      <c r="J20">
        <v>4</v>
      </c>
      <c r="K20">
        <f>H20-1+I20+J20</f>
        <v>173</v>
      </c>
      <c r="L20">
        <f>C20*$C$17+D20*$D$3+E20*$E$3+F20*$F$3+G20*$G$3</f>
        <v>2192.9876362668183</v>
      </c>
      <c r="M20">
        <f>L20-5.92*K20-14.7*I20-3.8*J20</f>
        <v>1124.2276362668181</v>
      </c>
    </row>
    <row r="23" spans="1:13" x14ac:dyDescent="0.25">
      <c r="A23" t="s">
        <v>16</v>
      </c>
      <c r="C23">
        <f>4/3*PI()*0.89^3</f>
        <v>2.9529672418780573</v>
      </c>
      <c r="D23">
        <v>20.58</v>
      </c>
      <c r="E23">
        <v>7.24</v>
      </c>
      <c r="F23">
        <v>15.6</v>
      </c>
      <c r="G23">
        <v>14.71</v>
      </c>
    </row>
    <row r="24" spans="1:13" x14ac:dyDescent="0.25">
      <c r="B24" t="s">
        <v>2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s="1" t="s">
        <v>17</v>
      </c>
    </row>
    <row r="25" spans="1:13" x14ac:dyDescent="0.25">
      <c r="A25" s="1" t="s">
        <v>20</v>
      </c>
      <c r="B25" t="s">
        <v>3</v>
      </c>
      <c r="C25">
        <v>2</v>
      </c>
      <c r="D25">
        <v>54</v>
      </c>
      <c r="E25">
        <v>70</v>
      </c>
      <c r="F25">
        <v>12</v>
      </c>
      <c r="G25">
        <v>18</v>
      </c>
      <c r="H25">
        <f>SUM(C25:G25)</f>
        <v>156</v>
      </c>
      <c r="I25">
        <v>2</v>
      </c>
      <c r="J25">
        <v>4</v>
      </c>
      <c r="K25">
        <f>H25-1+I25+J25</f>
        <v>161</v>
      </c>
      <c r="L25">
        <f>C25*$C$23+D25*$D$3+E25*$E$3+F25*$F$3+G25*$G$3</f>
        <v>2076.0059344837559</v>
      </c>
      <c r="M25">
        <f>L25-5.92*K25-14.7*I25-3.8*J25</f>
        <v>1078.2859344837559</v>
      </c>
    </row>
    <row r="26" spans="1:13" x14ac:dyDescent="0.25">
      <c r="A26" s="1" t="s">
        <v>4</v>
      </c>
      <c r="B26" t="s">
        <v>5</v>
      </c>
      <c r="C26">
        <v>2</v>
      </c>
      <c r="D26">
        <v>54</v>
      </c>
      <c r="E26">
        <v>78</v>
      </c>
      <c r="F26">
        <v>12</v>
      </c>
      <c r="G26">
        <v>22</v>
      </c>
      <c r="H26">
        <f>SUM(C26:G26)</f>
        <v>168</v>
      </c>
      <c r="I26">
        <v>2</v>
      </c>
      <c r="J26">
        <v>4</v>
      </c>
      <c r="K26">
        <f>H26-1+I26+J26</f>
        <v>173</v>
      </c>
      <c r="L26">
        <f>C26*$C$23+D26*$D$3+E26*$E$3+F26*$F$3+G26*$G$3</f>
        <v>2192.7659344837562</v>
      </c>
      <c r="M26">
        <f>L26-5.92*K26-14.7*I26-3.8*J26</f>
        <v>1124.0059344837559</v>
      </c>
    </row>
    <row r="29" spans="1:13" x14ac:dyDescent="0.25">
      <c r="A29" t="s">
        <v>16</v>
      </c>
      <c r="C29">
        <f>4/3*PI()*0.861^3</f>
        <v>2.673610041469511</v>
      </c>
      <c r="D29">
        <v>20.58</v>
      </c>
      <c r="E29">
        <v>7.24</v>
      </c>
      <c r="F29">
        <v>15.6</v>
      </c>
      <c r="G29">
        <v>14.71</v>
      </c>
    </row>
    <row r="30" spans="1:13" x14ac:dyDescent="0.25">
      <c r="B30" t="s">
        <v>2</v>
      </c>
      <c r="C30" t="s">
        <v>6</v>
      </c>
      <c r="D30" t="s">
        <v>7</v>
      </c>
      <c r="E30" t="s">
        <v>8</v>
      </c>
      <c r="F30" t="s">
        <v>9</v>
      </c>
      <c r="G30" t="s">
        <v>10</v>
      </c>
      <c r="H30" t="s">
        <v>11</v>
      </c>
      <c r="I30" t="s">
        <v>12</v>
      </c>
      <c r="J30" t="s">
        <v>13</v>
      </c>
      <c r="K30" t="s">
        <v>14</v>
      </c>
      <c r="L30" t="s">
        <v>15</v>
      </c>
      <c r="M30" s="1" t="s">
        <v>17</v>
      </c>
    </row>
    <row r="31" spans="1:13" x14ac:dyDescent="0.25">
      <c r="A31" s="1" t="s">
        <v>21</v>
      </c>
      <c r="B31" t="s">
        <v>3</v>
      </c>
      <c r="C31">
        <v>2</v>
      </c>
      <c r="D31">
        <v>54</v>
      </c>
      <c r="E31">
        <v>70</v>
      </c>
      <c r="F31">
        <v>12</v>
      </c>
      <c r="G31">
        <v>18</v>
      </c>
      <c r="H31">
        <f>SUM(C31:G31)</f>
        <v>156</v>
      </c>
      <c r="I31">
        <v>2</v>
      </c>
      <c r="J31">
        <v>4</v>
      </c>
      <c r="K31">
        <f>H31-1+I31+J31</f>
        <v>161</v>
      </c>
      <c r="L31">
        <f>C31*$C$29+D31*$D$3+E31*$E$3+F31*$F$3+G31*$G$3</f>
        <v>2075.4472200829391</v>
      </c>
      <c r="M31">
        <f>L31-5.92*K31-14.7*I31-3.8*J31</f>
        <v>1077.7272200829391</v>
      </c>
    </row>
    <row r="32" spans="1:13" x14ac:dyDescent="0.25">
      <c r="A32" s="1" t="s">
        <v>4</v>
      </c>
      <c r="B32" t="s">
        <v>5</v>
      </c>
      <c r="C32">
        <v>2</v>
      </c>
      <c r="D32">
        <v>54</v>
      </c>
      <c r="E32">
        <v>78</v>
      </c>
      <c r="F32">
        <v>12</v>
      </c>
      <c r="G32">
        <v>22</v>
      </c>
      <c r="H32">
        <f>SUM(C32:G32)</f>
        <v>168</v>
      </c>
      <c r="I32">
        <v>2</v>
      </c>
      <c r="J32">
        <v>4</v>
      </c>
      <c r="K32">
        <f>H32-1+I32+J32</f>
        <v>173</v>
      </c>
      <c r="L32">
        <f>C32*$C$29+D32*$D$3+E32*$E$3+F32*$F$3+G32*$G$3</f>
        <v>2192.2072200829389</v>
      </c>
      <c r="M32">
        <f>L32-5.92*K32-14.7*I32-3.8*J32</f>
        <v>1123.4472200829387</v>
      </c>
    </row>
    <row r="35" spans="1:13" x14ac:dyDescent="0.25">
      <c r="A35" t="s">
        <v>16</v>
      </c>
      <c r="C35">
        <f>4/3*PI()*0.9^3</f>
        <v>3.0536280592892791</v>
      </c>
      <c r="D35">
        <v>20.58</v>
      </c>
      <c r="E35">
        <v>7.24</v>
      </c>
      <c r="F35">
        <v>15.6</v>
      </c>
      <c r="G35">
        <v>14.71</v>
      </c>
    </row>
    <row r="36" spans="1:13" x14ac:dyDescent="0.25">
      <c r="B36" t="s">
        <v>2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  <c r="H36" t="s">
        <v>11</v>
      </c>
      <c r="I36" t="s">
        <v>12</v>
      </c>
      <c r="J36" t="s">
        <v>13</v>
      </c>
      <c r="K36" t="s">
        <v>14</v>
      </c>
      <c r="L36" t="s">
        <v>15</v>
      </c>
      <c r="M36" s="1" t="s">
        <v>17</v>
      </c>
    </row>
    <row r="37" spans="1:13" x14ac:dyDescent="0.25">
      <c r="A37" s="1" t="s">
        <v>21</v>
      </c>
      <c r="B37" t="s">
        <v>3</v>
      </c>
      <c r="C37">
        <v>2</v>
      </c>
      <c r="D37">
        <v>54</v>
      </c>
      <c r="E37">
        <v>70</v>
      </c>
      <c r="F37">
        <v>12</v>
      </c>
      <c r="G37">
        <v>18</v>
      </c>
      <c r="H37">
        <f>SUM(C37:G37)</f>
        <v>156</v>
      </c>
      <c r="I37">
        <v>2</v>
      </c>
      <c r="J37">
        <v>4</v>
      </c>
      <c r="K37">
        <f>H37-1+I37+J37</f>
        <v>161</v>
      </c>
      <c r="L37">
        <f>C37*$C$35+D37*$D$3+E37*$E$3+F37*$F$3+G37*$G$3</f>
        <v>2076.2072561185787</v>
      </c>
      <c r="M37">
        <f>L37-5.92*K37-14.7*I37-3.8*J37</f>
        <v>1078.4872561185787</v>
      </c>
    </row>
    <row r="38" spans="1:13" x14ac:dyDescent="0.25">
      <c r="A38" s="1" t="s">
        <v>4</v>
      </c>
      <c r="B38" t="s">
        <v>5</v>
      </c>
      <c r="C38">
        <v>2</v>
      </c>
      <c r="D38">
        <v>54</v>
      </c>
      <c r="E38">
        <v>78</v>
      </c>
      <c r="F38">
        <v>12</v>
      </c>
      <c r="G38">
        <v>22</v>
      </c>
      <c r="H38">
        <f>SUM(C38:G38)</f>
        <v>168</v>
      </c>
      <c r="I38">
        <v>2</v>
      </c>
      <c r="J38">
        <v>4</v>
      </c>
      <c r="K38">
        <f>H38-1+I38+J38</f>
        <v>173</v>
      </c>
      <c r="L38">
        <f>C38*$C$35+D38*$D$3+E38*$E$3+F38*$F$3+G38*$G$3</f>
        <v>2192.9672561185785</v>
      </c>
      <c r="M38">
        <f>L38-5.92*K38-14.7*I38-3.8*J38</f>
        <v>1124.2072561185782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72D1-E99D-47F3-A37B-819405C48906}">
  <dimension ref="A3:J24"/>
  <sheetViews>
    <sheetView tabSelected="1" zoomScale="120" zoomScaleNormal="120" workbookViewId="0">
      <selection activeCell="D15" sqref="D15"/>
    </sheetView>
  </sheetViews>
  <sheetFormatPr baseColWidth="10" defaultRowHeight="15" x14ac:dyDescent="0.25"/>
  <cols>
    <col min="1" max="1" width="16.28515625" bestFit="1" customWidth="1"/>
    <col min="3" max="3" width="12" bestFit="1" customWidth="1"/>
  </cols>
  <sheetData>
    <row r="3" spans="1:10" x14ac:dyDescent="0.25">
      <c r="A3" t="s">
        <v>6</v>
      </c>
      <c r="C3" s="1" t="s">
        <v>29</v>
      </c>
      <c r="D3" s="1" t="s">
        <v>18</v>
      </c>
      <c r="E3" s="1" t="s">
        <v>19</v>
      </c>
      <c r="F3" s="1" t="s">
        <v>20</v>
      </c>
      <c r="G3" s="1" t="s">
        <v>30</v>
      </c>
      <c r="H3" s="1" t="s">
        <v>31</v>
      </c>
      <c r="I3" s="1" t="s">
        <v>1</v>
      </c>
      <c r="J3" s="1" t="s">
        <v>21</v>
      </c>
    </row>
    <row r="4" spans="1:10" x14ac:dyDescent="0.25">
      <c r="A4" t="s">
        <v>23</v>
      </c>
      <c r="B4" t="s">
        <v>22</v>
      </c>
    </row>
    <row r="5" spans="1:10" x14ac:dyDescent="0.25">
      <c r="A5" t="s">
        <v>24</v>
      </c>
      <c r="B5" t="s">
        <v>28</v>
      </c>
      <c r="C5">
        <v>0.9</v>
      </c>
      <c r="D5">
        <v>0.85</v>
      </c>
      <c r="E5">
        <v>1.6</v>
      </c>
      <c r="F5">
        <v>1.1100000000000001</v>
      </c>
      <c r="G5">
        <v>1.8</v>
      </c>
      <c r="H5">
        <v>1.1399999999999999</v>
      </c>
      <c r="I5">
        <v>0.7</v>
      </c>
      <c r="J5">
        <v>1.44</v>
      </c>
    </row>
    <row r="6" spans="1:10" x14ac:dyDescent="0.25">
      <c r="A6" t="s">
        <v>41</v>
      </c>
      <c r="B6" t="s">
        <v>28</v>
      </c>
      <c r="C6">
        <f>0.86*C5</f>
        <v>0.77400000000000002</v>
      </c>
      <c r="D6">
        <f>0.905*D5</f>
        <v>0.76924999999999999</v>
      </c>
      <c r="E6">
        <f>0.86*E5</f>
        <v>1.3760000000000001</v>
      </c>
      <c r="F6">
        <f>0.858*F5</f>
        <v>0.95238000000000012</v>
      </c>
      <c r="G6">
        <f>0.885*G5</f>
        <v>1.593</v>
      </c>
      <c r="H6">
        <f>0.85*H5</f>
        <v>0.96899999999999986</v>
      </c>
      <c r="I6">
        <f>0.882*I5</f>
        <v>0.61739999999999995</v>
      </c>
      <c r="J6">
        <f>0.875*J5</f>
        <v>1.26</v>
      </c>
    </row>
    <row r="7" spans="1:10" x14ac:dyDescent="0.25">
      <c r="A7" t="s">
        <v>25</v>
      </c>
      <c r="B7" t="s">
        <v>32</v>
      </c>
      <c r="C7">
        <v>1500.2</v>
      </c>
      <c r="D7">
        <v>1489.7</v>
      </c>
      <c r="E7">
        <v>1505.06</v>
      </c>
      <c r="F7">
        <v>1509.72</v>
      </c>
      <c r="G7">
        <v>1493.05</v>
      </c>
      <c r="H7">
        <v>1353.01</v>
      </c>
      <c r="I7">
        <v>1453.01</v>
      </c>
      <c r="J7">
        <v>1525.14</v>
      </c>
    </row>
    <row r="8" spans="1:10" x14ac:dyDescent="0.25">
      <c r="A8" t="s">
        <v>26</v>
      </c>
      <c r="B8" t="s">
        <v>33</v>
      </c>
      <c r="C8">
        <f>C6*0.001/C7</f>
        <v>5.1593120917211046E-7</v>
      </c>
      <c r="D8">
        <f t="shared" ref="D8:J8" si="0">D6*0.001/D7</f>
        <v>5.163791367389407E-7</v>
      </c>
      <c r="E8">
        <f t="shared" si="0"/>
        <v>9.1424926581000104E-7</v>
      </c>
      <c r="F8">
        <f t="shared" si="0"/>
        <v>6.3083220729671734E-7</v>
      </c>
      <c r="G8">
        <f t="shared" si="0"/>
        <v>1.0669435049060647E-6</v>
      </c>
      <c r="H8">
        <f t="shared" si="0"/>
        <v>7.1618095949032152E-7</v>
      </c>
      <c r="I8">
        <f t="shared" si="0"/>
        <v>4.2491104672369764E-7</v>
      </c>
      <c r="J8">
        <f t="shared" si="0"/>
        <v>8.2615366458161218E-7</v>
      </c>
    </row>
    <row r="9" spans="1:10" x14ac:dyDescent="0.25">
      <c r="A9" t="s">
        <v>27</v>
      </c>
      <c r="B9" s="1" t="s">
        <v>34</v>
      </c>
      <c r="C9" s="2">
        <f>C8*1100*10^-30*6.022*10^23</f>
        <v>3.4176315157978933E-10</v>
      </c>
      <c r="D9" s="2">
        <f t="shared" ref="D9:J9" si="1">D8*1100*10^-30*6.022*10^23</f>
        <v>3.4205986775860906E-10</v>
      </c>
      <c r="E9" s="2">
        <f t="shared" si="1"/>
        <v>6.0561699865786078E-10</v>
      </c>
      <c r="F9" s="2">
        <f t="shared" si="1"/>
        <v>4.1787587075749149E-10</v>
      </c>
      <c r="G9" s="2">
        <f t="shared" si="1"/>
        <v>7.0676471651987527E-10</v>
      </c>
      <c r="H9" s="2">
        <f t="shared" si="1"/>
        <v>4.7441259118557872E-10</v>
      </c>
      <c r="I9" s="2">
        <f t="shared" si="1"/>
        <v>2.8146957557071174E-10</v>
      </c>
      <c r="J9" s="2">
        <f t="shared" si="1"/>
        <v>5.4726071049215157E-10</v>
      </c>
    </row>
    <row r="10" spans="1:10" x14ac:dyDescent="0.25">
      <c r="B10" s="1" t="s">
        <v>35</v>
      </c>
      <c r="C10" s="1">
        <f>C9/10^-9</f>
        <v>0.34176315157978931</v>
      </c>
      <c r="D10" s="1">
        <f t="shared" ref="D10:J10" si="2">D9/10^-9</f>
        <v>0.34205986775860903</v>
      </c>
      <c r="E10" s="1">
        <f t="shared" si="2"/>
        <v>0.60561699865786078</v>
      </c>
      <c r="F10" s="1">
        <f t="shared" si="2"/>
        <v>0.41787587075749144</v>
      </c>
      <c r="G10" s="1">
        <f t="shared" si="2"/>
        <v>0.70676471651987527</v>
      </c>
      <c r="H10" s="1">
        <f t="shared" si="2"/>
        <v>0.47441259118557871</v>
      </c>
      <c r="I10" s="1">
        <f t="shared" si="2"/>
        <v>0.28146957557071173</v>
      </c>
      <c r="J10" s="1">
        <f t="shared" si="2"/>
        <v>0.54726071049215153</v>
      </c>
    </row>
    <row r="12" spans="1:10" x14ac:dyDescent="0.25">
      <c r="A12" t="s">
        <v>42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</row>
    <row r="13" spans="1:10" x14ac:dyDescent="0.25">
      <c r="A13" t="s">
        <v>43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</row>
    <row r="14" spans="1:10" x14ac:dyDescent="0.25">
      <c r="A14" t="s">
        <v>44</v>
      </c>
      <c r="D14" t="s">
        <v>40</v>
      </c>
    </row>
    <row r="18" spans="1:4" x14ac:dyDescent="0.25">
      <c r="C18">
        <v>2.5</v>
      </c>
      <c r="D18" s="3">
        <f>C18/C9</f>
        <v>7315007450.1707668</v>
      </c>
    </row>
    <row r="21" spans="1:4" x14ac:dyDescent="0.25">
      <c r="A21" t="s">
        <v>36</v>
      </c>
    </row>
    <row r="22" spans="1:4" x14ac:dyDescent="0.25">
      <c r="A22" t="s">
        <v>37</v>
      </c>
      <c r="B22" t="s">
        <v>38</v>
      </c>
      <c r="C22" t="s">
        <v>39</v>
      </c>
    </row>
    <row r="23" spans="1:4" x14ac:dyDescent="0.25">
      <c r="A23">
        <v>-80000</v>
      </c>
      <c r="B23">
        <f>A23*1000/4/PI()</f>
        <v>-6366197.7236758135</v>
      </c>
      <c r="C23">
        <f>B23/1000000</f>
        <v>-6.3661977236758132</v>
      </c>
    </row>
    <row r="24" spans="1:4" x14ac:dyDescent="0.25">
      <c r="A24">
        <v>80000</v>
      </c>
      <c r="B24">
        <f>A24*1000/4/PI()</f>
        <v>6366197.7236758135</v>
      </c>
      <c r="C24">
        <f>B24/1000000</f>
        <v>6.3661977236758132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vdW volumes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 Schicho</dc:creator>
  <cp:lastModifiedBy>Michi Schicho</cp:lastModifiedBy>
  <dcterms:created xsi:type="dcterms:W3CDTF">2021-08-18T08:59:47Z</dcterms:created>
  <dcterms:modified xsi:type="dcterms:W3CDTF">2021-09-01T08:41:25Z</dcterms:modified>
</cp:coreProperties>
</file>