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<sst xmlns="http://schemas.openxmlformats.org/spreadsheetml/2006/main" uniqueCount="174">
  <si>
    <t>Data Daun Gambir</t>
  </si>
  <si>
    <t xml:space="preserve">Last row: </t>
  </si>
  <si>
    <t>No</t>
  </si>
  <si>
    <t>Luas Daun</t>
  </si>
  <si>
    <t>RGB Daun</t>
  </si>
  <si>
    <t>Keliling daun</t>
  </si>
  <si>
    <t>Hasil Persamaan</t>
  </si>
  <si>
    <t>Umur Daun Berdasarkan</t>
  </si>
  <si>
    <t>Name File</t>
  </si>
  <si>
    <t>LuasAtas</t>
  </si>
  <si>
    <t>LuasBawah</t>
  </si>
  <si>
    <t>Gambar Atas</t>
  </si>
  <si>
    <t>Gambar Bawah</t>
  </si>
  <si>
    <t>RGB1</t>
  </si>
  <si>
    <t>RGB2</t>
  </si>
  <si>
    <t>RGB3</t>
  </si>
  <si>
    <t>RGB4</t>
  </si>
  <si>
    <t>RGB5</t>
  </si>
  <si>
    <t>RGB6</t>
  </si>
  <si>
    <t>RGB7</t>
  </si>
  <si>
    <t>RGB8</t>
  </si>
  <si>
    <t>RGB9</t>
  </si>
  <si>
    <t>RGB10</t>
  </si>
  <si>
    <t>RGB Image</t>
  </si>
  <si>
    <t>KelilingAtas</t>
  </si>
  <si>
    <t>KelilingBawah</t>
  </si>
  <si>
    <t>Keliling Daun</t>
  </si>
  <si>
    <t>R</t>
  </si>
  <si>
    <t>G</t>
  </si>
  <si>
    <t>B</t>
  </si>
  <si>
    <t>/home/hermansyah/Aplikasi TA/tmp/test.jpg</t>
  </si>
  <si>
    <t>/home/hermansyah/Aplikasi TA/tmp/test_0.jpg</t>
  </si>
  <si>
    <t>/home/hermansyah/Aplikasi TA/tmp/test_1.jpg</t>
  </si>
  <si>
    <t>/home/hermansyah/Aplikasi TA/tmp/test_2.jpg</t>
  </si>
  <si>
    <t>/home/hermansyah/Aplikasi TA/tmp/test_3.jpg</t>
  </si>
  <si>
    <t>/home/hermansyah/Aplikasi TA/tmp/test_4.jpg</t>
  </si>
  <si>
    <t>/home/hermansyah/Aplikasi TA/tmp/test_5.jpg</t>
  </si>
  <si>
    <t>/home/hermansyah/Aplikasi TA/tmp/test_6.jpg</t>
  </si>
  <si>
    <t>/home/hermansyah/Aplikasi TA/tmp/test_7.jpg</t>
  </si>
  <si>
    <t>/home/hermansyah/Aplikasi TA/tmp/test_8.jpg</t>
  </si>
  <si>
    <t>/home/hermansyah/Aplikasi TA/tmp/test_9.jpg</t>
  </si>
  <si>
    <t>/home/hermansyah/Aplikasi TA/tmp/test_10.jpg</t>
  </si>
  <si>
    <t>/home/hermansyah/Aplikasi TA/tmp/test_11.jpg</t>
  </si>
  <si>
    <t>/home/hermansyah/Aplikasi TA/tmp/test_12.jpg</t>
  </si>
  <si>
    <t>/home/hermansyah/Aplikasi TA/tmp/test_13.jpg</t>
  </si>
  <si>
    <t>/home/hermansyah/Aplikasi TA/tmp/test_14.jpg</t>
  </si>
  <si>
    <t>/home/hermansyah/Aplikasi TA/tmp/test_15.jpg</t>
  </si>
  <si>
    <t>/home/hermansyah/Aplikasi TA/tmp/test_16.jpg</t>
  </si>
  <si>
    <t>/home/hermansyah/Aplikasi TA/tmp/test_17.jpg</t>
  </si>
  <si>
    <t>/home/hermansyah/Aplikasi TA/tmp/test_18.jpg</t>
  </si>
  <si>
    <t>/home/hermansyah/Aplikasi TA/tmp/test_19.jpg</t>
  </si>
  <si>
    <t>/home/hermansyah/Aplikasi TA/tmp/test_20.jpg</t>
  </si>
  <si>
    <t>/home/hermansyah/Aplikasi TA/tmp/test_21.jpg</t>
  </si>
  <si>
    <t>/home/hermansyah/Aplikasi TA/tmp/test_22.jpg</t>
  </si>
  <si>
    <t>/home/hermansyah/Aplikasi TA/tmp/test_23.jpg</t>
  </si>
  <si>
    <t>/home/hermansyah/Aplikasi TA/tmp/test_24.jpg</t>
  </si>
  <si>
    <t>/home/hermansyah/Aplikasi TA/tmp/test_25.jpg</t>
  </si>
  <si>
    <t>/home/hermansyah/Aplikasi TA/tmp/test_26.jpg</t>
  </si>
  <si>
    <t>/home/hermansyah/Aplikasi TA/tmp/test_27.jpg</t>
  </si>
  <si>
    <t>/home/hermansyah/Aplikasi TA/tmp/test_28.jpg</t>
  </si>
  <si>
    <t>/home/hermansyah/Aplikasi TA/tmp/test_29.jpg</t>
  </si>
  <si>
    <t>/home/hermansyah/Aplikasi TA/tmp/test_30.jpg</t>
  </si>
  <si>
    <t>/home/hermansyah/Aplikasi TA/tmp/test_31.jpg</t>
  </si>
  <si>
    <t>/home/hermansyah/Aplikasi TA/tmp/test_32.jpg</t>
  </si>
  <si>
    <t>/home/hermansyah/Aplikasi TA/tmp/test_33.jpg</t>
  </si>
  <si>
    <t>/home/hermansyah/Aplikasi TA/tmp/test_34.jpg</t>
  </si>
  <si>
    <t>/home/hermansyah/Aplikasi TA/tmp/test_35.jpg</t>
  </si>
  <si>
    <t>/home/hermansyah/Aplikasi TA/tmp/test_36.jpg</t>
  </si>
  <si>
    <t>/home/hermansyah/Aplikasi TA/tmp/test_37.jpg</t>
  </si>
  <si>
    <t>/home/hermansyah/Aplikasi TA/tmp/test_38.jpg</t>
  </si>
  <si>
    <t>/home/hermansyah/Aplikasi TA/tmp/test_39.jpg</t>
  </si>
  <si>
    <t>/home/hermansyah/Aplikasi TA/tmp/test_40.jpg</t>
  </si>
  <si>
    <t>/home/hermansyah/Aplikasi TA/tmp/test_41.jpg</t>
  </si>
  <si>
    <t>/home/hermansyah/Aplikasi TA/tmp/test_42.jpg</t>
  </si>
  <si>
    <t>/home/hermansyah/Aplikasi TA/tmp/test_43.jpg</t>
  </si>
  <si>
    <t>/home/hermansyah/Aplikasi TA/tmp/test_44.jpg</t>
  </si>
  <si>
    <t>/home/hermansyah/Aplikasi TA/tmp/test_45.jpg</t>
  </si>
  <si>
    <t>/home/hermansyah/Aplikasi TA/tmp/test_46.jpg</t>
  </si>
  <si>
    <t>/home/hermansyah/Aplikasi TA/tmp/test_47.jpg</t>
  </si>
  <si>
    <t>/home/hermansyah/Aplikasi TA/tmp/test_48.jpg</t>
  </si>
  <si>
    <t>/home/hermansyah/Aplikasi TA/tmp/test_49.jpg</t>
  </si>
  <si>
    <t>/home/hermansyah/Aplikasi TA/tmp/test_50.jpg</t>
  </si>
  <si>
    <t>/home/hermansyah/Aplikasi TA/tmp/test_51.jpg</t>
  </si>
  <si>
    <t>/home/hermansyah/Aplikasi TA/tmp/test_52.jpg</t>
  </si>
  <si>
    <t>/home/hermansyah/Aplikasi TA/tmp/test_53.jpg</t>
  </si>
  <si>
    <t>/home/hermansyah/Aplikasi TA/tmp/test_54.jpg</t>
  </si>
  <si>
    <t>/home/hermansyah/Aplikasi TA/tmp/test_55.jpg</t>
  </si>
  <si>
    <t>/home/hermansyah/Aplikasi TA/tmp/test_56.jpg</t>
  </si>
  <si>
    <t>/home/hermansyah/Aplikasi TA/tmp/test_57.jpg</t>
  </si>
  <si>
    <t>/home/hermansyah/Aplikasi TA/tmp/test_58.jpg</t>
  </si>
  <si>
    <t>/home/hermansyah/Aplikasi TA/tmp/test_59.jpg</t>
  </si>
  <si>
    <t>/home/hermansyah/Aplikasi TA/tmp/test_60.jpg</t>
  </si>
  <si>
    <t>/home/hermansyah/Aplikasi TA/tmp/test_61.jpg</t>
  </si>
  <si>
    <t>/home/hermansyah/Aplikasi TA/tmp/test_62.jpg</t>
  </si>
  <si>
    <t>/home/hermansyah/Aplikasi TA/tmp/test_63.jpg</t>
  </si>
  <si>
    <t>/home/hermansyah/Aplikasi TA/tmp/test_64.jpg</t>
  </si>
  <si>
    <t>/home/hermansyah/Aplikasi TA/tmp/test_65.jpg</t>
  </si>
  <si>
    <t>/home/hermansyah/Aplikasi TA/tmp/test_66.jpg</t>
  </si>
  <si>
    <t>/home/hermansyah/Aplikasi TA/tmp/test_67.jpg</t>
  </si>
  <si>
    <t>/home/hermansyah/Aplikasi TA/tmp/test_68.jpg</t>
  </si>
  <si>
    <t>/home/hermansyah/Aplikasi TA/tmp/test_69.jpg</t>
  </si>
  <si>
    <t>/home/hermansyah/Aplikasi TA/tmp/test_70.jpg</t>
  </si>
  <si>
    <t>/home/hermansyah/Aplikasi TA/tmp/test_71.jpg</t>
  </si>
  <si>
    <t>/home/hermansyah/Aplikasi TA/tmp/test_72.jpg</t>
  </si>
  <si>
    <t>/home/hermansyah/Aplikasi TA/tmp/test_73.jpg</t>
  </si>
  <si>
    <t>/home/hermansyah/Aplikasi TA/tmp/test_74.jpg</t>
  </si>
  <si>
    <t>/home/hermansyah/Aplikasi TA/tmp/test_75.jpg</t>
  </si>
  <si>
    <t>/home/hermansyah/Aplikasi TA/tmp/test_76.jpg</t>
  </si>
  <si>
    <t>/home/hermansyah/Aplikasi TA/tmp/test_77.jpg</t>
  </si>
  <si>
    <t>/home/hermansyah/Aplikasi TA/tmp/test_78.jpg</t>
  </si>
  <si>
    <t>/home/hermansyah/Aplikasi TA/tmp/test_79.jpg</t>
  </si>
  <si>
    <t>/home/hermansyah/Aplikasi TA/tmp/test_80.jpg</t>
  </si>
  <si>
    <t>/home/hermansyah/Aplikasi TA/tmp/test_81.jpg</t>
  </si>
  <si>
    <t>/home/hermansyah/Aplikasi TA/tmp/test_82.jpg</t>
  </si>
  <si>
    <t>/home/hermansyah/Aplikasi TA/tmp/test_83.jpg</t>
  </si>
  <si>
    <t>/home/hermansyah/Aplikasi TA/tmp/test_84.jpg</t>
  </si>
  <si>
    <t>/home/hermansyah/Aplikasi TA/tmp/test_85.jpg</t>
  </si>
  <si>
    <t>/home/hermansyah/Aplikasi TA/tmp/test_86.jpg</t>
  </si>
  <si>
    <t>/home/hermansyah/Aplikasi TA/tmp/test_87.jpg</t>
  </si>
  <si>
    <t>/home/hermansyah/Aplikasi TA/tmp/test_88.jpg</t>
  </si>
  <si>
    <t>/home/hermansyah/Aplikasi TA/tmp/test_89.jpg</t>
  </si>
  <si>
    <t>/home/hermansyah/Aplikasi TA/tmp/test_90.jpg</t>
  </si>
  <si>
    <t>/home/hermansyah/Aplikasi TA/tmp/test_91.jpg</t>
  </si>
  <si>
    <t>/home/hermansyah/Aplikasi TA/tmp/test_92.jpg</t>
  </si>
  <si>
    <t>/home/hermansyah/Aplikasi TA/tmp/test_93.jpg</t>
  </si>
  <si>
    <t>/home/hermansyah/Aplikasi TA/tmp/test_94.jpg</t>
  </si>
  <si>
    <t>/home/hermansyah/Aplikasi TA/tmp/test_95.jpg</t>
  </si>
  <si>
    <t>/home/hermansyah/Aplikasi TA/tmp/test_96.jpg</t>
  </si>
  <si>
    <t>/home/hermansyah/Aplikasi TA/tmp/test_97.jpg</t>
  </si>
  <si>
    <t>/home/hermansyah/Aplikasi TA/tmp/test_98.jpg</t>
  </si>
  <si>
    <t>/home/hermansyah/Aplikasi TA/tmp/test_99.jpg</t>
  </si>
  <si>
    <t>/home/hermansyah/Aplikasi TA/tmp/test_100.jpg</t>
  </si>
  <si>
    <t>/home/hermansyah/Aplikasi TA/tmp/test_101.jpg</t>
  </si>
  <si>
    <t>/home/hermansyah/Aplikasi TA/tmp/test_102.jpg</t>
  </si>
  <si>
    <t>/home/hermansyah/Aplikasi TA/tmp/test_103.jpg</t>
  </si>
  <si>
    <t>/home/hermansyah/Aplikasi TA/tmp/test_104.jpg</t>
  </si>
  <si>
    <t>/home/hermansyah/Aplikasi TA/tmp/test_105.jpg</t>
  </si>
  <si>
    <t>/home/hermansyah/Aplikasi TA/tmp/test_106.jpg</t>
  </si>
  <si>
    <t>/home/hermansyah/Aplikasi TA/tmp/test_107.jpg</t>
  </si>
  <si>
    <t>/home/hermansyah/Aplikasi TA/tmp/test_108.jpg</t>
  </si>
  <si>
    <t>/home/hermansyah/Aplikasi TA/tmp/test_109.jpg</t>
  </si>
  <si>
    <t>/home/hermansyah/Aplikasi TA/tmp/test_110.jpg</t>
  </si>
  <si>
    <t>/home/hermansyah/Aplikasi TA/tmp/test_111.jpg</t>
  </si>
  <si>
    <t>/home/hermansyah/Aplikasi TA/tmp/test_112.jpg</t>
  </si>
  <si>
    <t>/home/hermansyah/Aplikasi TA/tmp/test_113.jpg</t>
  </si>
  <si>
    <t>/home/hermansyah/Aplikasi TA/tmp/test_114.jpg</t>
  </si>
  <si>
    <t>/home/hermansyah/Aplikasi TA/tmp/test_115.jpg</t>
  </si>
  <si>
    <t>/home/hermansyah/Aplikasi TA/tmp/test_116.jpg</t>
  </si>
  <si>
    <t>/home/hermansyah/Aplikasi TA/tmp/test_117.jpg</t>
  </si>
  <si>
    <t>/home/hermansyah/Aplikasi TA/tmp/test_118.jpg</t>
  </si>
  <si>
    <t>/home/hermansyah/Aplikasi TA/tmp/test_119.jpg</t>
  </si>
  <si>
    <t>/home/hermansyah/Aplikasi TA/tmp/test_120.jpg</t>
  </si>
  <si>
    <t>/home/hermansyah/Aplikasi TA/tmp/test_121.jpg</t>
  </si>
  <si>
    <t>/home/hermansyah/Aplikasi TA/tmp/test_122.jpg</t>
  </si>
  <si>
    <t>/home/hermansyah/Aplikasi TA/tmp/test_123.jpg</t>
  </si>
  <si>
    <t>/home/hermansyah/Aplikasi TA/tmp/test_124.jpg</t>
  </si>
  <si>
    <t>/home/hermansyah/Aplikasi TA/tmp/test_125.jpg</t>
  </si>
  <si>
    <t>/home/hermansyah/Aplikasi TA/tmp/test_126.jpg</t>
  </si>
  <si>
    <t>/home/hermansyah/Aplikasi TA/tmp/test_127.jpg</t>
  </si>
  <si>
    <t>/home/hermansyah/Aplikasi TA/tmp/test_128.jpg</t>
  </si>
  <si>
    <t>/home/hermansyah/Aplikasi TA/tmp/test_130.jpg</t>
  </si>
  <si>
    <t>/home/hermansyah/Aplikasi TA/tmp/test_131.jpg</t>
  </si>
  <si>
    <t>/home/hermansyah/Aplikasi TA/tmp/test_132.jpg</t>
  </si>
  <si>
    <t>/home/hermansyah/Aplikasi TA/tmp/test_134.jpg</t>
  </si>
  <si>
    <t>/home/hermansyah/Aplikasi TA/tmp/test_135.jpg</t>
  </si>
  <si>
    <t>/home/hermansyah/Aplikasi TA/tmp/test_136.jpg</t>
  </si>
  <si>
    <t>/home/hermansyah/Aplikasi TA/tmp/test_138.jpg</t>
  </si>
  <si>
    <t>/home/hermansyah/Aplikasi TA/tmp/test_139.jpg</t>
  </si>
  <si>
    <t>/home/hermansyah/Aplikasi TA/tmp/test_140.jpg</t>
  </si>
  <si>
    <t>/home/hermansyah/Aplikasi TA/tmp/test_141.jpg</t>
  </si>
  <si>
    <t>/home/hermansyah/Aplikasi TA/tmp/test_142.jpg</t>
  </si>
  <si>
    <t>/home/hermansyah/Aplikasi TA/tmp/test_144.jpg</t>
  </si>
  <si>
    <t>/home/hermansyah/Aplikasi TA/tmp/test_145.jpg</t>
  </si>
  <si>
    <t>/home/hermansyah/Aplikasi TA/tmp/test_146.jpg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</si>
</sst>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5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center" vertical="center"/>
    </xf>
    <xf applyAlignment="1" borderId="0" fillId="0" fontId="0" numFmtId="164" pivotButton="0" quotePrefix="0" xfId="0">
      <alignment horizontal="center" vertical="center"/>
    </xf>
    <xf borderId="0" fillId="0" fontId="0" numFmtId="0" pivotButton="0" quotePrefix="0" xfId="0"/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U150"/>
  <sheetViews>
    <sheetView colorId="64" defaultGridColor="1" rightToLeft="0" showFormulas="0" showGridLines="1" showOutlineSymbols="1" showRowColHeaders="1" showZeros="1" tabSelected="1" topLeftCell="A1" view="normal" workbookViewId="0" zoomScale="110" zoomScaleNormal="110" zoomScalePageLayoutView="100">
      <selection activeCell="C3" activeCellId="0" pane="topLeft" sqref="C3"/>
    </sheetView>
  </sheetViews>
  <sheetFormatPr baseColWidth="8" defaultRowHeight="12.8" outlineLevelCol="0" outlineLevelRow="0" zeroHeight="0"/>
  <cols>
    <col customWidth="1" max="1" min="1" style="1" width="10.8"/>
    <col customWidth="1" max="2" min="2" style="1" width="16.87"/>
    <col customWidth="1" max="4" min="3" style="1" width="10.8"/>
    <col customWidth="1" max="6" min="5" style="1" width="14.16"/>
    <col customWidth="1" max="8" min="7" style="1" width="4.05"/>
    <col customWidth="1" max="9" min="9" style="1" width="3.51"/>
    <col customWidth="1" max="12" min="10" style="1" width="4.05"/>
    <col customWidth="1" max="24" min="13" style="1" width="3.51"/>
    <col customWidth="1" max="26" min="25" style="1" width="4.05"/>
    <col customWidth="1" max="27" min="27" style="1" width="3.51"/>
    <col customWidth="1" max="33" min="28" style="1" width="4.05"/>
    <col customWidth="1" max="36" min="34" style="1" width="3.51"/>
    <col customWidth="1" max="37" min="37" style="1" width="11.24"/>
    <col customWidth="1" max="38" min="38" style="1" width="11.11"/>
    <col customWidth="1" max="39" min="39" style="1" width="13.02"/>
    <col customWidth="1" max="40" min="40" style="1" width="12.37"/>
    <col customWidth="1" max="41" min="41" style="1" width="14.4"/>
    <col customWidth="1" max="42" min="42" style="1" width="10.46"/>
    <col customWidth="1" max="43" min="43" style="1" width="12.26"/>
    <col customWidth="1" max="44" min="44" style="1" width="10.61"/>
    <col customWidth="1" max="45" min="45" style="1" width="10.8"/>
    <col customWidth="1" max="46" min="46" style="1" width="11.52"/>
    <col customWidth="1" max="1025" min="47" style="1" width="10.8"/>
  </cols>
  <sheetData>
    <row customHeight="1" ht="12.8" r="1" s="4" spans="1:47">
      <c r="B1" s="1" t="s">
        <v>0</v>
      </c>
    </row>
    <row customHeight="1" ht="12.8" r="2" s="4" spans="1:47">
      <c r="B2" s="1" t="s">
        <v>1</v>
      </c>
      <c r="C2" s="1" t="n">
        <v>151</v>
      </c>
    </row>
    <row customHeight="1" ht="12.8" r="3" s="4" spans="1:47">
      <c r="B3" s="1" t="s">
        <v>2</v>
      </c>
      <c r="C3" s="1" t="n">
        <v>145</v>
      </c>
    </row>
    <row customHeight="1" ht="12.8" r="4" s="4" spans="1:47">
      <c r="C4" s="3" t="s">
        <v>3</v>
      </c>
      <c r="G4" s="3" t="s">
        <v>4</v>
      </c>
      <c r="AL4" s="3" t="s">
        <v>5</v>
      </c>
      <c r="AP4" s="3" t="s">
        <v>6</v>
      </c>
      <c r="AS4" s="3" t="s">
        <v>7</v>
      </c>
    </row>
    <row customHeight="1" ht="12.8" r="5" s="4" spans="1:47">
      <c r="A5" s="1" t="s">
        <v>2</v>
      </c>
      <c r="B5" s="1" t="s">
        <v>8</v>
      </c>
      <c r="C5" s="1" t="s">
        <v>9</v>
      </c>
      <c r="D5" s="1" t="s">
        <v>10</v>
      </c>
      <c r="E5" s="1" t="s">
        <v>11</v>
      </c>
      <c r="F5" s="1" t="s">
        <v>12</v>
      </c>
      <c r="G5" s="3" t="s">
        <v>13</v>
      </c>
      <c r="J5" s="3" t="s">
        <v>14</v>
      </c>
      <c r="M5" s="3" t="s">
        <v>15</v>
      </c>
      <c r="P5" s="3" t="s">
        <v>16</v>
      </c>
      <c r="S5" s="3" t="s">
        <v>17</v>
      </c>
      <c r="V5" s="3" t="s">
        <v>18</v>
      </c>
      <c r="Y5" s="3" t="s">
        <v>19</v>
      </c>
      <c r="AB5" s="3" t="s">
        <v>20</v>
      </c>
      <c r="AE5" s="3" t="s">
        <v>21</v>
      </c>
      <c r="AH5" s="3" t="s">
        <v>22</v>
      </c>
      <c r="AK5" s="3" t="s">
        <v>23</v>
      </c>
      <c r="AL5" s="3" t="s">
        <v>24</v>
      </c>
      <c r="AM5" s="3" t="s">
        <v>25</v>
      </c>
      <c r="AN5" s="3" t="s">
        <v>11</v>
      </c>
      <c r="AO5" s="1" t="s">
        <v>12</v>
      </c>
      <c r="AP5" s="1" t="s">
        <v>3</v>
      </c>
      <c r="AQ5" s="1" t="s">
        <v>26</v>
      </c>
      <c r="AR5" s="1" t="s">
        <v>4</v>
      </c>
      <c r="AS5" s="1" t="s">
        <v>3</v>
      </c>
      <c r="AT5" s="1" t="s">
        <v>26</v>
      </c>
      <c r="AU5" s="1" t="s">
        <v>4</v>
      </c>
    </row>
    <row customHeight="1" ht="12.8" r="6" s="4" spans="1:47">
      <c r="G6" s="1" t="s">
        <v>27</v>
      </c>
      <c r="H6" s="1" t="s">
        <v>28</v>
      </c>
      <c r="I6" s="1" t="s">
        <v>29</v>
      </c>
      <c r="J6" s="1" t="s">
        <v>27</v>
      </c>
      <c r="K6" s="1" t="s">
        <v>28</v>
      </c>
      <c r="L6" s="1" t="s">
        <v>29</v>
      </c>
      <c r="M6" s="1" t="s">
        <v>27</v>
      </c>
      <c r="N6" s="1" t="s">
        <v>28</v>
      </c>
      <c r="O6" s="1" t="s">
        <v>29</v>
      </c>
      <c r="P6" s="1" t="s">
        <v>27</v>
      </c>
      <c r="Q6" s="1" t="s">
        <v>28</v>
      </c>
      <c r="R6" s="1" t="s">
        <v>29</v>
      </c>
      <c r="S6" s="1" t="s">
        <v>27</v>
      </c>
      <c r="T6" s="1" t="s">
        <v>28</v>
      </c>
      <c r="U6" s="1" t="s">
        <v>29</v>
      </c>
      <c r="V6" s="1" t="s">
        <v>27</v>
      </c>
      <c r="W6" s="1" t="s">
        <v>28</v>
      </c>
      <c r="X6" s="1" t="s">
        <v>29</v>
      </c>
      <c r="Y6" s="1" t="s">
        <v>27</v>
      </c>
      <c r="Z6" s="1" t="s">
        <v>28</v>
      </c>
      <c r="AA6" s="1" t="s">
        <v>29</v>
      </c>
      <c r="AB6" s="1" t="s">
        <v>27</v>
      </c>
      <c r="AC6" s="1" t="s">
        <v>28</v>
      </c>
      <c r="AD6" s="1" t="s">
        <v>29</v>
      </c>
      <c r="AE6" s="1" t="s">
        <v>27</v>
      </c>
      <c r="AF6" s="1" t="s">
        <v>28</v>
      </c>
      <c r="AG6" s="1" t="s">
        <v>29</v>
      </c>
      <c r="AH6" s="1" t="s">
        <v>27</v>
      </c>
      <c r="AI6" s="1" t="s">
        <v>28</v>
      </c>
      <c r="AJ6" s="1" t="s">
        <v>29</v>
      </c>
    </row>
    <row r="7" spans="1:47">
      <c r="A7" t="n">
        <v>1</v>
      </c>
      <c r="B7" t="s">
        <v>30</v>
      </c>
      <c r="C7" t="n">
        <v>0.7000000000000001</v>
      </c>
      <c r="D7" t="n">
        <v>0.7000000000000001</v>
      </c>
      <c r="E7">
        <f>HYPERLINK("file:///home/hermansyah/Aplikasi%20TA/data/luasdaun/1_atas.png","LINK")</f>
        <v/>
      </c>
      <c r="F7">
        <f>HYPERLINK("file:///home/hermansyah/Aplikasi%20TA/data/luasdaun/1_bawah.png","LINK")</f>
        <v/>
      </c>
      <c r="G7" t="n">
        <v>0</v>
      </c>
      <c r="H7" t="n">
        <v>69</v>
      </c>
      <c r="I7" t="n">
        <v>29</v>
      </c>
      <c r="J7" t="n">
        <v>1</v>
      </c>
      <c r="K7" t="n">
        <v>90</v>
      </c>
      <c r="L7" t="n">
        <v>70</v>
      </c>
      <c r="M7" t="n">
        <v>120</v>
      </c>
      <c r="N7" t="n">
        <v>135</v>
      </c>
      <c r="O7" t="n">
        <v>127</v>
      </c>
      <c r="P7" t="n">
        <v>123</v>
      </c>
      <c r="Q7" t="n">
        <v>137</v>
      </c>
      <c r="R7" t="n">
        <v>126</v>
      </c>
      <c r="S7" t="n">
        <v>126</v>
      </c>
      <c r="T7" t="n">
        <v>139</v>
      </c>
      <c r="U7" t="n">
        <v>125</v>
      </c>
      <c r="V7" t="n">
        <v>0</v>
      </c>
      <c r="W7" t="n">
        <v>74</v>
      </c>
      <c r="X7" t="n">
        <v>40</v>
      </c>
      <c r="Y7" t="n">
        <v>0</v>
      </c>
      <c r="Z7" t="n">
        <v>83</v>
      </c>
      <c r="AA7" t="n">
        <v>59</v>
      </c>
      <c r="AB7" t="n">
        <v>123</v>
      </c>
      <c r="AC7" t="n">
        <v>136</v>
      </c>
      <c r="AD7" t="n">
        <v>128</v>
      </c>
      <c r="AE7" t="n">
        <v>124</v>
      </c>
      <c r="AF7" t="n">
        <v>135</v>
      </c>
      <c r="AG7" t="n">
        <v>125</v>
      </c>
      <c r="AH7" t="n">
        <v>127</v>
      </c>
      <c r="AI7" t="n">
        <v>137</v>
      </c>
      <c r="AJ7" t="n">
        <v>124</v>
      </c>
      <c r="AK7">
        <f>HYPERLINK("file:///home/hermansyah/Aplikasi%20TA/data/rgbdaun/1.png","LINK")</f>
        <v/>
      </c>
      <c r="AL7" t="n">
        <v>8</v>
      </c>
      <c r="AM7" t="n">
        <v>7</v>
      </c>
      <c r="AN7">
        <f>HYPERLINK("file:///home/hermansyah/Aplikasi%20TA/data/kelilingdaun/1_atas.png","LINK")</f>
        <v/>
      </c>
      <c r="AO7">
        <f>HYPERLINK("file:///home/hermansyah/Aplikasi%20TA/data/kelilingdaun/1_bawah.png","LINK")</f>
        <v/>
      </c>
      <c r="AP7" t="n">
        <v>0.9999400649092812</v>
      </c>
      <c r="AQ7" t="n">
        <v>0.7607487143554731</v>
      </c>
      <c r="AR7" t="n">
        <v>2.964388609723034e-07</v>
      </c>
      <c r="AS7" t="n">
        <v>1</v>
      </c>
      <c r="AT7" t="n">
        <v>1</v>
      </c>
      <c r="AU7" t="n">
        <v>1</v>
      </c>
    </row>
    <row r="8" spans="1:47">
      <c r="A8" t="n">
        <v>2</v>
      </c>
      <c r="B8" t="s">
        <v>31</v>
      </c>
      <c r="C8" t="n">
        <v>0.8</v>
      </c>
      <c r="D8" t="n">
        <v>1</v>
      </c>
      <c r="E8">
        <f>HYPERLINK("file:///home/hermansyah/Aplikasi%20TA/data/luasdaun/2_atas.png","LINK")</f>
        <v/>
      </c>
      <c r="F8">
        <f>HYPERLINK("file:///home/hermansyah/Aplikasi%20TA/data/luasdaun/2_bawah.png","LINK")</f>
        <v/>
      </c>
      <c r="G8" t="n">
        <v>0</v>
      </c>
      <c r="H8" t="n">
        <v>53</v>
      </c>
      <c r="I8" t="n">
        <v>14</v>
      </c>
      <c r="J8" t="n">
        <v>1</v>
      </c>
      <c r="K8" t="n">
        <v>58</v>
      </c>
      <c r="L8" t="n">
        <v>25</v>
      </c>
      <c r="M8" t="n">
        <v>122</v>
      </c>
      <c r="N8" t="n">
        <v>134</v>
      </c>
      <c r="O8" t="n">
        <v>128</v>
      </c>
      <c r="P8" t="n">
        <v>126</v>
      </c>
      <c r="Q8" t="n">
        <v>137</v>
      </c>
      <c r="R8" t="n">
        <v>129</v>
      </c>
      <c r="S8" t="n">
        <v>128</v>
      </c>
      <c r="T8" t="n">
        <v>138</v>
      </c>
      <c r="U8" t="n">
        <v>125</v>
      </c>
      <c r="V8" t="n">
        <v>3</v>
      </c>
      <c r="W8" t="n">
        <v>56</v>
      </c>
      <c r="X8" t="n">
        <v>17</v>
      </c>
      <c r="Y8" t="n">
        <v>3</v>
      </c>
      <c r="Z8" t="n">
        <v>51</v>
      </c>
      <c r="AA8" t="n">
        <v>22</v>
      </c>
      <c r="AB8" t="n">
        <v>123</v>
      </c>
      <c r="AC8" t="n">
        <v>136</v>
      </c>
      <c r="AD8" t="n">
        <v>128</v>
      </c>
      <c r="AE8" t="n">
        <v>125</v>
      </c>
      <c r="AF8" t="n">
        <v>136</v>
      </c>
      <c r="AG8" t="n">
        <v>126</v>
      </c>
      <c r="AH8" t="n">
        <v>126</v>
      </c>
      <c r="AI8" t="n">
        <v>136</v>
      </c>
      <c r="AJ8" t="n">
        <v>123</v>
      </c>
      <c r="AK8">
        <f>HYPERLINK("file:///home/hermansyah/Aplikasi%20TA/data/rgbdaun/2.png","LINK")</f>
        <v/>
      </c>
      <c r="AL8" t="n">
        <v>7</v>
      </c>
      <c r="AM8" t="n">
        <v>8</v>
      </c>
      <c r="AN8">
        <f>HYPERLINK("file:///home/hermansyah/Aplikasi%20TA/data/kelilingdaun/2_atas.png","LINK")</f>
        <v/>
      </c>
      <c r="AO8">
        <f>HYPERLINK("file:///home/hermansyah/Aplikasi%20TA/data/kelilingdaun/2_bawah.png","LINK")</f>
        <v/>
      </c>
      <c r="AP8" t="n">
        <v>0.9997991837161323</v>
      </c>
      <c r="AQ8" t="n">
        <v>0.9362128937348123</v>
      </c>
      <c r="AR8" t="n">
        <v>2.187967189918654e-06</v>
      </c>
      <c r="AS8" t="n">
        <v>1</v>
      </c>
      <c r="AT8" t="n">
        <v>1</v>
      </c>
      <c r="AU8" t="n">
        <v>1</v>
      </c>
    </row>
    <row r="9" spans="1:47">
      <c r="A9" t="n">
        <v>3</v>
      </c>
      <c r="B9" t="s">
        <v>32</v>
      </c>
      <c r="C9" t="n">
        <v>1</v>
      </c>
      <c r="D9" t="n">
        <v>0.9</v>
      </c>
      <c r="E9">
        <f>HYPERLINK("file:///home/hermansyah/Aplikasi%20TA/data/luasdaun/3_atas.png","LINK")</f>
        <v/>
      </c>
      <c r="F9">
        <f>HYPERLINK("file:///home/hermansyah/Aplikasi%20TA/data/luasdaun/3_bawah.png","LINK")</f>
        <v/>
      </c>
      <c r="G9" t="n">
        <v>0</v>
      </c>
      <c r="H9" t="n">
        <v>49</v>
      </c>
      <c r="I9" t="n">
        <v>11</v>
      </c>
      <c r="J9" t="n">
        <v>3</v>
      </c>
      <c r="K9" t="n">
        <v>44</v>
      </c>
      <c r="L9" t="n">
        <v>16</v>
      </c>
      <c r="M9" t="n">
        <v>120</v>
      </c>
      <c r="N9" t="n">
        <v>133</v>
      </c>
      <c r="O9" t="n">
        <v>125</v>
      </c>
      <c r="P9" t="n">
        <v>123</v>
      </c>
      <c r="Q9" t="n">
        <v>134</v>
      </c>
      <c r="R9" t="n">
        <v>124</v>
      </c>
      <c r="S9" t="n">
        <v>125</v>
      </c>
      <c r="T9" t="n">
        <v>135</v>
      </c>
      <c r="U9" t="n">
        <v>122</v>
      </c>
      <c r="V9" t="n">
        <v>4</v>
      </c>
      <c r="W9" t="n">
        <v>38</v>
      </c>
      <c r="X9" t="n">
        <v>8</v>
      </c>
      <c r="Y9" t="n">
        <v>4</v>
      </c>
      <c r="Z9" t="n">
        <v>45</v>
      </c>
      <c r="AA9" t="n">
        <v>17</v>
      </c>
      <c r="AB9" t="n">
        <v>122</v>
      </c>
      <c r="AC9" t="n">
        <v>133</v>
      </c>
      <c r="AD9" t="n">
        <v>125</v>
      </c>
      <c r="AE9" t="n">
        <v>121</v>
      </c>
      <c r="AF9" t="n">
        <v>132</v>
      </c>
      <c r="AG9" t="n">
        <v>124</v>
      </c>
      <c r="AH9" t="n">
        <v>123</v>
      </c>
      <c r="AI9" t="n">
        <v>133</v>
      </c>
      <c r="AJ9" t="n">
        <v>120</v>
      </c>
      <c r="AK9">
        <f>HYPERLINK("file:///home/hermansyah/Aplikasi%20TA/data/rgbdaun/3.png","LINK")</f>
        <v/>
      </c>
      <c r="AL9" t="n">
        <v>8</v>
      </c>
      <c r="AM9" t="n">
        <v>7</v>
      </c>
      <c r="AN9">
        <f>HYPERLINK("file:///home/hermansyah/Aplikasi%20TA/data/kelilingdaun/3_atas.png","LINK")</f>
        <v/>
      </c>
      <c r="AO9">
        <f>HYPERLINK("file:///home/hermansyah/Aplikasi%20TA/data/kelilingdaun/3_bawah.png","LINK")</f>
        <v/>
      </c>
      <c r="AP9" t="n">
        <v>0.9998976750347409</v>
      </c>
      <c r="AQ9" t="n">
        <v>0.7607487143554731</v>
      </c>
      <c r="AR9" t="n">
        <v>2.193725936873205e-06</v>
      </c>
      <c r="AS9" t="n">
        <v>1</v>
      </c>
      <c r="AT9" t="n">
        <v>1</v>
      </c>
      <c r="AU9" t="n">
        <v>0</v>
      </c>
    </row>
    <row r="10" spans="1:47">
      <c r="A10" t="n">
        <v>4</v>
      </c>
      <c r="B10" t="s">
        <v>33</v>
      </c>
      <c r="C10" t="n">
        <v>0.6000000000000001</v>
      </c>
      <c r="D10" t="n">
        <v>0.9</v>
      </c>
      <c r="E10">
        <f>HYPERLINK("file:///home/hermansyah/Aplikasi%20TA/data/luasdaun/4_atas.png","LINK")</f>
        <v/>
      </c>
      <c r="F10">
        <f>HYPERLINK("file:///home/hermansyah/Aplikasi%20TA/data/luasdaun/4_bawah.png","LINK")</f>
        <v/>
      </c>
      <c r="G10" t="n">
        <v>0</v>
      </c>
      <c r="H10" t="n">
        <v>54</v>
      </c>
      <c r="I10" t="n">
        <v>15</v>
      </c>
      <c r="J10" t="n">
        <v>108</v>
      </c>
      <c r="K10" t="n">
        <v>123</v>
      </c>
      <c r="L10" t="n">
        <v>109</v>
      </c>
      <c r="M10" t="n">
        <v>123</v>
      </c>
      <c r="N10" t="n">
        <v>136</v>
      </c>
      <c r="O10" t="n">
        <v>128</v>
      </c>
      <c r="P10" t="n">
        <v>125</v>
      </c>
      <c r="Q10" t="n">
        <v>136</v>
      </c>
      <c r="R10" t="n">
        <v>126</v>
      </c>
      <c r="S10" t="n">
        <v>127</v>
      </c>
      <c r="T10" t="n">
        <v>137</v>
      </c>
      <c r="U10" t="n">
        <v>124</v>
      </c>
      <c r="V10" t="n">
        <v>4</v>
      </c>
      <c r="W10" t="n">
        <v>59</v>
      </c>
      <c r="X10" t="n">
        <v>20</v>
      </c>
      <c r="Y10" t="n">
        <v>0</v>
      </c>
      <c r="Z10" t="n">
        <v>63</v>
      </c>
      <c r="AA10" t="n">
        <v>28</v>
      </c>
      <c r="AB10" t="n">
        <v>124</v>
      </c>
      <c r="AC10" t="n">
        <v>134</v>
      </c>
      <c r="AD10" t="n">
        <v>128</v>
      </c>
      <c r="AE10" t="n">
        <v>124</v>
      </c>
      <c r="AF10" t="n">
        <v>135</v>
      </c>
      <c r="AG10" t="n">
        <v>125</v>
      </c>
      <c r="AH10" t="n">
        <v>127</v>
      </c>
      <c r="AI10" t="n">
        <v>137</v>
      </c>
      <c r="AJ10" t="n">
        <v>124</v>
      </c>
      <c r="AK10">
        <f>HYPERLINK("file:///home/hermansyah/Aplikasi%20TA/data/rgbdaun/4.png","LINK")</f>
        <v/>
      </c>
      <c r="AL10" t="n">
        <v>7</v>
      </c>
      <c r="AM10" t="n">
        <v>7</v>
      </c>
      <c r="AN10">
        <f>HYPERLINK("file:///home/hermansyah/Aplikasi%20TA/data/kelilingdaun/4_atas.png","LINK")</f>
        <v/>
      </c>
      <c r="AO10">
        <f>HYPERLINK("file:///home/hermansyah/Aplikasi%20TA/data/kelilingdaun/4_bawah.png","LINK")</f>
        <v/>
      </c>
      <c r="AP10" t="n">
        <v>0.9999103741867051</v>
      </c>
      <c r="AQ10" t="n">
        <v>0.9299413809068471</v>
      </c>
      <c r="AR10" t="n">
        <v>2.936972919064549e-07</v>
      </c>
      <c r="AS10" t="n">
        <v>1</v>
      </c>
      <c r="AT10" t="n">
        <v>1</v>
      </c>
      <c r="AU10" t="n">
        <v>1</v>
      </c>
    </row>
    <row r="11" spans="1:47">
      <c r="A11" t="n">
        <v>5</v>
      </c>
      <c r="B11" t="s">
        <v>34</v>
      </c>
      <c r="C11" t="n">
        <v>0.7000000000000001</v>
      </c>
      <c r="D11" t="n">
        <v>0.8</v>
      </c>
      <c r="E11">
        <f>HYPERLINK("file:///home/hermansyah/Aplikasi%20TA/data/luasdaun/5_atas.png","LINK")</f>
        <v/>
      </c>
      <c r="F11">
        <f>HYPERLINK("file:///home/hermansyah/Aplikasi%20TA/data/luasdaun/5_bawah.png","LINK")</f>
        <v/>
      </c>
      <c r="G11" t="n">
        <v>0</v>
      </c>
      <c r="H11" t="n">
        <v>63</v>
      </c>
      <c r="I11" t="n">
        <v>24</v>
      </c>
      <c r="J11" t="n">
        <v>0</v>
      </c>
      <c r="K11" t="n">
        <v>59</v>
      </c>
      <c r="L11" t="n">
        <v>28</v>
      </c>
      <c r="M11" t="n">
        <v>120</v>
      </c>
      <c r="N11" t="n">
        <v>132</v>
      </c>
      <c r="O11" t="n">
        <v>126</v>
      </c>
      <c r="P11" t="n">
        <v>123</v>
      </c>
      <c r="Q11" t="n">
        <v>134</v>
      </c>
      <c r="R11" t="n">
        <v>126</v>
      </c>
      <c r="S11" t="n">
        <v>124</v>
      </c>
      <c r="T11" t="n">
        <v>134</v>
      </c>
      <c r="U11" t="n">
        <v>121</v>
      </c>
      <c r="V11" t="n">
        <v>0</v>
      </c>
      <c r="W11" t="n">
        <v>65</v>
      </c>
      <c r="X11" t="n">
        <v>28</v>
      </c>
      <c r="Y11" t="n">
        <v>0</v>
      </c>
      <c r="Z11" t="n">
        <v>55</v>
      </c>
      <c r="AA11" t="n">
        <v>24</v>
      </c>
      <c r="AB11" t="n">
        <v>120</v>
      </c>
      <c r="AC11" t="n">
        <v>133</v>
      </c>
      <c r="AD11" t="n">
        <v>125</v>
      </c>
      <c r="AE11" t="n">
        <v>121</v>
      </c>
      <c r="AF11" t="n">
        <v>132</v>
      </c>
      <c r="AG11" t="n">
        <v>122</v>
      </c>
      <c r="AH11" t="n">
        <v>121</v>
      </c>
      <c r="AI11" t="n">
        <v>134</v>
      </c>
      <c r="AJ11" t="n">
        <v>120</v>
      </c>
      <c r="AK11">
        <f>HYPERLINK("file:///home/hermansyah/Aplikasi%20TA/data/rgbdaun/5.png","LINK")</f>
        <v/>
      </c>
      <c r="AL11" t="n">
        <v>7</v>
      </c>
      <c r="AM11" t="n">
        <v>8</v>
      </c>
      <c r="AN11">
        <f>HYPERLINK("file:///home/hermansyah/Aplikasi%20TA/data/kelilingdaun/5_atas.png","LINK")</f>
        <v/>
      </c>
      <c r="AO11">
        <f>HYPERLINK("file:///home/hermansyah/Aplikasi%20TA/data/kelilingdaun/5_bawah.png","LINK")</f>
        <v/>
      </c>
      <c r="AP11" t="n">
        <v>0.9999339835741226</v>
      </c>
      <c r="AQ11" t="n">
        <v>0.9362128937348123</v>
      </c>
      <c r="AR11" t="n">
        <v>2.178198710246407e-06</v>
      </c>
      <c r="AS11" t="n">
        <v>1</v>
      </c>
      <c r="AT11" t="n">
        <v>1</v>
      </c>
      <c r="AU11" t="n">
        <v>1</v>
      </c>
    </row>
    <row r="12" spans="1:47">
      <c r="A12" t="n">
        <v>6</v>
      </c>
      <c r="B12" t="s">
        <v>35</v>
      </c>
      <c r="C12" t="n">
        <v>0.9</v>
      </c>
      <c r="D12" t="n">
        <v>1.1</v>
      </c>
      <c r="E12">
        <f>HYPERLINK("file:///home/hermansyah/Aplikasi%20TA/data/luasdaun/6_atas.png","LINK")</f>
        <v/>
      </c>
      <c r="F12">
        <f>HYPERLINK("file:///home/hermansyah/Aplikasi%20TA/data/luasdaun/6_bawah.png","LINK")</f>
        <v/>
      </c>
      <c r="G12" t="n">
        <v>0</v>
      </c>
      <c r="H12" t="n">
        <v>62</v>
      </c>
      <c r="I12" t="n">
        <v>26</v>
      </c>
      <c r="J12" t="n">
        <v>1</v>
      </c>
      <c r="K12" t="n">
        <v>67</v>
      </c>
      <c r="L12" t="n">
        <v>42</v>
      </c>
      <c r="M12" t="n">
        <v>119</v>
      </c>
      <c r="N12" t="n">
        <v>131</v>
      </c>
      <c r="O12" t="n">
        <v>125</v>
      </c>
      <c r="P12" t="n">
        <v>121</v>
      </c>
      <c r="Q12" t="n">
        <v>132</v>
      </c>
      <c r="R12" t="n">
        <v>124</v>
      </c>
      <c r="S12" t="n">
        <v>125</v>
      </c>
      <c r="T12" t="n">
        <v>134</v>
      </c>
      <c r="U12" t="n">
        <v>124</v>
      </c>
      <c r="V12" t="n">
        <v>3</v>
      </c>
      <c r="W12" t="n">
        <v>59</v>
      </c>
      <c r="X12" t="n">
        <v>24</v>
      </c>
      <c r="Y12" t="n">
        <v>0</v>
      </c>
      <c r="Z12" t="n">
        <v>50</v>
      </c>
      <c r="AA12" t="n">
        <v>22</v>
      </c>
      <c r="AB12" t="n">
        <v>120</v>
      </c>
      <c r="AC12" t="n">
        <v>130</v>
      </c>
      <c r="AD12" t="n">
        <v>124</v>
      </c>
      <c r="AE12" t="n">
        <v>120</v>
      </c>
      <c r="AF12" t="n">
        <v>131</v>
      </c>
      <c r="AG12" t="n">
        <v>123</v>
      </c>
      <c r="AH12" t="n">
        <v>124</v>
      </c>
      <c r="AI12" t="n">
        <v>134</v>
      </c>
      <c r="AJ12" t="n">
        <v>121</v>
      </c>
      <c r="AK12">
        <f>HYPERLINK("file:///home/hermansyah/Aplikasi%20TA/data/rgbdaun/6.png","LINK")</f>
        <v/>
      </c>
      <c r="AL12" t="n">
        <v>9</v>
      </c>
      <c r="AM12" t="n">
        <v>8</v>
      </c>
      <c r="AN12">
        <f>HYPERLINK("file:///home/hermansyah/Aplikasi%20TA/data/kelilingdaun/6_atas.png","LINK")</f>
        <v/>
      </c>
      <c r="AO12">
        <f>HYPERLINK("file:///home/hermansyah/Aplikasi%20TA/data/kelilingdaun/6_bawah.png","LINK")</f>
        <v/>
      </c>
      <c r="AP12" t="n">
        <v>0.9995234552606366</v>
      </c>
      <c r="AQ12" t="n">
        <v>0.7491333051305842</v>
      </c>
      <c r="AR12" t="n">
        <v>2.119213240580008e-06</v>
      </c>
      <c r="AS12" t="n">
        <v>1</v>
      </c>
      <c r="AT12" t="n">
        <v>1</v>
      </c>
      <c r="AU12" t="n">
        <v>2</v>
      </c>
    </row>
    <row r="13" spans="1:47">
      <c r="A13" t="n">
        <v>7</v>
      </c>
      <c r="B13" t="s">
        <v>36</v>
      </c>
      <c r="C13" t="n">
        <v>0.6000000000000001</v>
      </c>
      <c r="D13" t="n">
        <v>0.9</v>
      </c>
      <c r="E13">
        <f>HYPERLINK("file:///home/hermansyah/Aplikasi%20TA/data/luasdaun/7_atas.png","LINK")</f>
        <v/>
      </c>
      <c r="F13">
        <f>HYPERLINK("file:///home/hermansyah/Aplikasi%20TA/data/luasdaun/7_bawah.png","LINK")</f>
        <v/>
      </c>
      <c r="G13" t="n">
        <v>0</v>
      </c>
      <c r="H13" t="n">
        <v>79</v>
      </c>
      <c r="I13" t="n">
        <v>48</v>
      </c>
      <c r="J13" t="n">
        <v>0</v>
      </c>
      <c r="K13" t="n">
        <v>89</v>
      </c>
      <c r="L13" t="n">
        <v>69</v>
      </c>
      <c r="M13" t="n">
        <v>119</v>
      </c>
      <c r="N13" t="n">
        <v>131</v>
      </c>
      <c r="O13" t="n">
        <v>125</v>
      </c>
      <c r="P13" t="n">
        <v>123</v>
      </c>
      <c r="Q13" t="n">
        <v>134</v>
      </c>
      <c r="R13" t="n">
        <v>126</v>
      </c>
      <c r="S13" t="n">
        <v>125</v>
      </c>
      <c r="T13" t="n">
        <v>135</v>
      </c>
      <c r="U13" t="n">
        <v>122</v>
      </c>
      <c r="V13" t="n">
        <v>0</v>
      </c>
      <c r="W13" t="n">
        <v>66</v>
      </c>
      <c r="X13" t="n">
        <v>29</v>
      </c>
      <c r="Y13" t="n">
        <v>0</v>
      </c>
      <c r="Z13" t="n">
        <v>81</v>
      </c>
      <c r="AA13" t="n">
        <v>58</v>
      </c>
      <c r="AB13" t="n">
        <v>121</v>
      </c>
      <c r="AC13" t="n">
        <v>134</v>
      </c>
      <c r="AD13" t="n">
        <v>126</v>
      </c>
      <c r="AE13" t="n">
        <v>122</v>
      </c>
      <c r="AF13" t="n">
        <v>133</v>
      </c>
      <c r="AG13" t="n">
        <v>125</v>
      </c>
      <c r="AH13" t="n">
        <v>125</v>
      </c>
      <c r="AI13" t="n">
        <v>135</v>
      </c>
      <c r="AJ13" t="n">
        <v>122</v>
      </c>
      <c r="AK13">
        <f>HYPERLINK("file:///home/hermansyah/Aplikasi%20TA/data/rgbdaun/7.png","LINK")</f>
        <v/>
      </c>
      <c r="AL13" t="n">
        <v>7</v>
      </c>
      <c r="AM13" t="n">
        <v>8</v>
      </c>
      <c r="AN13">
        <f>HYPERLINK("file:///home/hermansyah/Aplikasi%20TA/data/kelilingdaun/7_atas.png","LINK")</f>
        <v/>
      </c>
      <c r="AO13">
        <f>HYPERLINK("file:///home/hermansyah/Aplikasi%20TA/data/kelilingdaun/7_bawah.png","LINK")</f>
        <v/>
      </c>
      <c r="AP13" t="n">
        <v>0.9999103741867051</v>
      </c>
      <c r="AQ13" t="n">
        <v>0.9362128937348123</v>
      </c>
      <c r="AR13" t="n">
        <v>3.058766825314364e-07</v>
      </c>
      <c r="AS13" t="n">
        <v>1</v>
      </c>
      <c r="AT13" t="n">
        <v>1</v>
      </c>
      <c r="AU13" t="n">
        <v>1</v>
      </c>
    </row>
    <row r="14" spans="1:47">
      <c r="A14" t="n">
        <v>8</v>
      </c>
      <c r="B14" t="s">
        <v>37</v>
      </c>
      <c r="C14" t="n">
        <v>0.8</v>
      </c>
      <c r="D14" t="n">
        <v>0.7000000000000001</v>
      </c>
      <c r="E14">
        <f>HYPERLINK("file:///home/hermansyah/Aplikasi%20TA/data/luasdaun/8_atas.png","LINK")</f>
        <v/>
      </c>
      <c r="F14">
        <f>HYPERLINK("file:///home/hermansyah/Aplikasi%20TA/data/luasdaun/8_bawah.png","LINK")</f>
        <v/>
      </c>
      <c r="G14" t="n">
        <v>0</v>
      </c>
      <c r="H14" t="n">
        <v>65</v>
      </c>
      <c r="I14" t="n">
        <v>28</v>
      </c>
      <c r="J14" t="n">
        <v>0</v>
      </c>
      <c r="K14" t="n">
        <v>62</v>
      </c>
      <c r="L14" t="n">
        <v>32</v>
      </c>
      <c r="M14" t="n">
        <v>121</v>
      </c>
      <c r="N14" t="n">
        <v>134</v>
      </c>
      <c r="O14" t="n">
        <v>126</v>
      </c>
      <c r="P14" t="n">
        <v>124</v>
      </c>
      <c r="Q14" t="n">
        <v>135</v>
      </c>
      <c r="R14" t="n">
        <v>125</v>
      </c>
      <c r="S14" t="n">
        <v>127</v>
      </c>
      <c r="T14" t="n">
        <v>137</v>
      </c>
      <c r="U14" t="n">
        <v>124</v>
      </c>
      <c r="V14" t="n">
        <v>3</v>
      </c>
      <c r="W14" t="n">
        <v>67</v>
      </c>
      <c r="X14" t="n">
        <v>31</v>
      </c>
      <c r="Y14" t="n">
        <v>53</v>
      </c>
      <c r="Z14" t="n">
        <v>99</v>
      </c>
      <c r="AA14" t="n">
        <v>77</v>
      </c>
      <c r="AB14" t="n">
        <v>124</v>
      </c>
      <c r="AC14" t="n">
        <v>135</v>
      </c>
      <c r="AD14" t="n">
        <v>127</v>
      </c>
      <c r="AE14" t="n">
        <v>124</v>
      </c>
      <c r="AF14" t="n">
        <v>135</v>
      </c>
      <c r="AG14" t="n">
        <v>125</v>
      </c>
      <c r="AH14" t="n">
        <v>124</v>
      </c>
      <c r="AI14" t="n">
        <v>134</v>
      </c>
      <c r="AJ14" t="n">
        <v>121</v>
      </c>
      <c r="AK14">
        <f>HYPERLINK("file:///home/hermansyah/Aplikasi%20TA/data/rgbdaun/8.png","LINK")</f>
        <v/>
      </c>
      <c r="AL14" t="n">
        <v>8</v>
      </c>
      <c r="AM14" t="n">
        <v>6</v>
      </c>
      <c r="AN14">
        <f>HYPERLINK("file:///home/hermansyah/Aplikasi%20TA/data/kelilingdaun/8_atas.png","LINK")</f>
        <v/>
      </c>
      <c r="AO14">
        <f>HYPERLINK("file:///home/hermansyah/Aplikasi%20TA/data/kelilingdaun/8_bawah.png","LINK")</f>
        <v/>
      </c>
      <c r="AP14" t="n">
        <v>0.999939934515617</v>
      </c>
      <c r="AQ14" t="n">
        <v>0.7018152917005273</v>
      </c>
      <c r="AR14" t="n">
        <v>2.953154184554972e-07</v>
      </c>
      <c r="AS14" t="n">
        <v>1</v>
      </c>
      <c r="AT14" t="n">
        <v>1</v>
      </c>
      <c r="AU14" t="n">
        <v>1</v>
      </c>
    </row>
    <row r="15" spans="1:47">
      <c r="A15" t="n">
        <v>9</v>
      </c>
      <c r="B15" t="s">
        <v>38</v>
      </c>
      <c r="C15" t="n">
        <v>0.8</v>
      </c>
      <c r="D15" t="n">
        <v>0.7000000000000001</v>
      </c>
      <c r="E15">
        <f>HYPERLINK("file:///home/hermansyah/Aplikasi%20TA/data/luasdaun/9_atas.png","LINK")</f>
        <v/>
      </c>
      <c r="F15">
        <f>HYPERLINK("file:///home/hermansyah/Aplikasi%20TA/data/luasdaun/9_bawah.png","LINK")</f>
        <v/>
      </c>
      <c r="G15" t="n">
        <v>0</v>
      </c>
      <c r="H15" t="n">
        <v>60</v>
      </c>
      <c r="I15" t="n">
        <v>22</v>
      </c>
      <c r="J15" t="n">
        <v>0</v>
      </c>
      <c r="K15" t="n">
        <v>62</v>
      </c>
      <c r="L15" t="n">
        <v>30</v>
      </c>
      <c r="M15" t="n">
        <v>122</v>
      </c>
      <c r="N15" t="n">
        <v>135</v>
      </c>
      <c r="O15" t="n">
        <v>127</v>
      </c>
      <c r="P15" t="n">
        <v>125</v>
      </c>
      <c r="Q15" t="n">
        <v>136</v>
      </c>
      <c r="R15" t="n">
        <v>128</v>
      </c>
      <c r="S15" t="n">
        <v>128</v>
      </c>
      <c r="T15" t="n">
        <v>138</v>
      </c>
      <c r="U15" t="n">
        <v>126</v>
      </c>
      <c r="V15" t="n">
        <v>0</v>
      </c>
      <c r="W15" t="n">
        <v>69</v>
      </c>
      <c r="X15" t="n">
        <v>29</v>
      </c>
      <c r="Y15" t="n">
        <v>0</v>
      </c>
      <c r="Z15" t="n">
        <v>62</v>
      </c>
      <c r="AA15" t="n">
        <v>27</v>
      </c>
      <c r="AB15" t="n">
        <v>124</v>
      </c>
      <c r="AC15" t="n">
        <v>135</v>
      </c>
      <c r="AD15" t="n">
        <v>127</v>
      </c>
      <c r="AE15" t="n">
        <v>125</v>
      </c>
      <c r="AF15" t="n">
        <v>136</v>
      </c>
      <c r="AG15" t="n">
        <v>126</v>
      </c>
      <c r="AH15" t="n">
        <v>127</v>
      </c>
      <c r="AI15" t="n">
        <v>137</v>
      </c>
      <c r="AJ15" t="n">
        <v>124</v>
      </c>
      <c r="AK15">
        <f>HYPERLINK("file:///home/hermansyah/Aplikasi%20TA/data/rgbdaun/9.png","LINK")</f>
        <v/>
      </c>
      <c r="AL15" t="n">
        <v>7</v>
      </c>
      <c r="AM15" t="n">
        <v>7</v>
      </c>
      <c r="AN15">
        <f>HYPERLINK("file:///home/hermansyah/Aplikasi%20TA/data/kelilingdaun/9_atas.png","LINK")</f>
        <v/>
      </c>
      <c r="AO15">
        <f>HYPERLINK("file:///home/hermansyah/Aplikasi%20TA/data/kelilingdaun/9_bawah.png","LINK")</f>
        <v/>
      </c>
      <c r="AP15" t="n">
        <v>0.999939934515617</v>
      </c>
      <c r="AQ15" t="n">
        <v>0.9299413809068471</v>
      </c>
      <c r="AR15" t="n">
        <v>2.149183059894931e-06</v>
      </c>
      <c r="AS15" t="n">
        <v>1</v>
      </c>
      <c r="AT15" t="n">
        <v>1</v>
      </c>
      <c r="AU15" t="n">
        <v>1</v>
      </c>
    </row>
    <row r="16" spans="1:47">
      <c r="A16" t="n">
        <v>10</v>
      </c>
      <c r="B16" t="s">
        <v>39</v>
      </c>
      <c r="C16" t="n">
        <v>0.7000000000000001</v>
      </c>
      <c r="D16" t="n">
        <v>0.6000000000000001</v>
      </c>
      <c r="E16">
        <f>HYPERLINK("file:///home/hermansyah/Aplikasi%20TA/data/luasdaun/10_atas.png","LINK")</f>
        <v/>
      </c>
      <c r="F16">
        <f>HYPERLINK("file:///home/hermansyah/Aplikasi%20TA/data/luasdaun/10_bawah.png","LINK")</f>
        <v/>
      </c>
      <c r="G16" t="n">
        <v>4</v>
      </c>
      <c r="H16" t="n">
        <v>64</v>
      </c>
      <c r="I16" t="n">
        <v>33</v>
      </c>
      <c r="J16" t="n">
        <v>80</v>
      </c>
      <c r="K16" t="n">
        <v>105</v>
      </c>
      <c r="L16" t="n">
        <v>95</v>
      </c>
      <c r="M16" t="n">
        <v>123</v>
      </c>
      <c r="N16" t="n">
        <v>135</v>
      </c>
      <c r="O16" t="n">
        <v>129</v>
      </c>
      <c r="P16" t="n">
        <v>127</v>
      </c>
      <c r="Q16" t="n">
        <v>138</v>
      </c>
      <c r="R16" t="n">
        <v>130</v>
      </c>
      <c r="S16" t="n">
        <v>128</v>
      </c>
      <c r="T16" t="n">
        <v>138</v>
      </c>
      <c r="U16" t="n">
        <v>126</v>
      </c>
      <c r="V16" t="n">
        <v>3</v>
      </c>
      <c r="W16" t="n">
        <v>62</v>
      </c>
      <c r="X16" t="n">
        <v>31</v>
      </c>
      <c r="Y16" t="n">
        <v>121</v>
      </c>
      <c r="Z16" t="n">
        <v>129</v>
      </c>
      <c r="AA16" t="n">
        <v>118</v>
      </c>
      <c r="AB16" t="n">
        <v>126</v>
      </c>
      <c r="AC16" t="n">
        <v>136</v>
      </c>
      <c r="AD16" t="n">
        <v>130</v>
      </c>
      <c r="AE16" t="n">
        <v>125</v>
      </c>
      <c r="AF16" t="n">
        <v>136</v>
      </c>
      <c r="AG16" t="n">
        <v>128</v>
      </c>
      <c r="AH16" t="n">
        <v>126</v>
      </c>
      <c r="AI16" t="n">
        <v>136</v>
      </c>
      <c r="AJ16" t="n">
        <v>124</v>
      </c>
      <c r="AK16">
        <f>HYPERLINK("file:///home/hermansyah/Aplikasi%20TA/data/rgbdaun/10.png","LINK")</f>
        <v/>
      </c>
      <c r="AL16" t="n">
        <v>7</v>
      </c>
      <c r="AM16" t="n">
        <v>6</v>
      </c>
      <c r="AN16">
        <f>HYPERLINK("file:///home/hermansyah/Aplikasi%20TA/data/kelilingdaun/10_atas.png","LINK")</f>
        <v/>
      </c>
      <c r="AO16">
        <f>HYPERLINK("file:///home/hermansyah/Aplikasi%20TA/data/kelilingdaun/10_bawah.png","LINK")</f>
        <v/>
      </c>
      <c r="AP16" t="n">
        <v>0.9999414692420296</v>
      </c>
      <c r="AQ16" t="n">
        <v>0.7746111599931712</v>
      </c>
      <c r="AR16" t="n">
        <v>2.936972448420639e-07</v>
      </c>
      <c r="AS16" t="n">
        <v>1</v>
      </c>
      <c r="AT16" t="n">
        <v>1</v>
      </c>
      <c r="AU16" t="n">
        <v>1</v>
      </c>
    </row>
    <row r="17" spans="1:47">
      <c r="A17" t="n">
        <v>11</v>
      </c>
      <c r="B17" t="s">
        <v>40</v>
      </c>
      <c r="C17" t="n">
        <v>0.4</v>
      </c>
      <c r="D17" t="n">
        <v>0.7000000000000001</v>
      </c>
      <c r="E17">
        <f>HYPERLINK("file:///home/hermansyah/Aplikasi%20TA/data/luasdaun/11_atas.png","LINK")</f>
        <v/>
      </c>
      <c r="F17">
        <f>HYPERLINK("file:///home/hermansyah/Aplikasi%20TA/data/luasdaun/11_bawah.png","LINK")</f>
        <v/>
      </c>
      <c r="G17" t="n">
        <v>0</v>
      </c>
      <c r="H17" t="n">
        <v>80</v>
      </c>
      <c r="I17" t="n">
        <v>51</v>
      </c>
      <c r="J17" t="n">
        <v>6</v>
      </c>
      <c r="K17" t="n">
        <v>75</v>
      </c>
      <c r="L17" t="n">
        <v>54</v>
      </c>
      <c r="M17" t="n">
        <v>122</v>
      </c>
      <c r="N17" t="n">
        <v>134</v>
      </c>
      <c r="O17" t="n">
        <v>128</v>
      </c>
      <c r="P17" t="n">
        <v>126</v>
      </c>
      <c r="Q17" t="n">
        <v>137</v>
      </c>
      <c r="R17" t="n">
        <v>129</v>
      </c>
      <c r="S17" t="n">
        <v>128</v>
      </c>
      <c r="T17" t="n">
        <v>138</v>
      </c>
      <c r="U17" t="n">
        <v>126</v>
      </c>
      <c r="V17" t="n">
        <v>1</v>
      </c>
      <c r="W17" t="n">
        <v>64</v>
      </c>
      <c r="X17" t="n">
        <v>32</v>
      </c>
      <c r="Y17" t="n">
        <v>2</v>
      </c>
      <c r="Z17" t="n">
        <v>84</v>
      </c>
      <c r="AA17" t="n">
        <v>61</v>
      </c>
      <c r="AB17" t="n">
        <v>125</v>
      </c>
      <c r="AC17" t="n">
        <v>135</v>
      </c>
      <c r="AD17" t="n">
        <v>129</v>
      </c>
      <c r="AE17" t="n">
        <v>124</v>
      </c>
      <c r="AF17" t="n">
        <v>135</v>
      </c>
      <c r="AG17" t="n">
        <v>127</v>
      </c>
      <c r="AH17" t="n">
        <v>127</v>
      </c>
      <c r="AI17" t="n">
        <v>137</v>
      </c>
      <c r="AJ17" t="n">
        <v>125</v>
      </c>
      <c r="AK17">
        <f>HYPERLINK("file:///home/hermansyah/Aplikasi%20TA/data/rgbdaun/11.png","LINK")</f>
        <v/>
      </c>
      <c r="AL17" t="n">
        <v>6</v>
      </c>
      <c r="AM17" t="n">
        <v>7</v>
      </c>
      <c r="AN17">
        <f>HYPERLINK("file:///home/hermansyah/Aplikasi%20TA/data/kelilingdaun/11_atas.png","LINK")</f>
        <v/>
      </c>
      <c r="AO17">
        <f>HYPERLINK("file:///home/hermansyah/Aplikasi%20TA/data/kelilingdaun/11_bawah.png","LINK")</f>
        <v/>
      </c>
      <c r="AP17" t="n">
        <v>0.9999398242278248</v>
      </c>
      <c r="AQ17" t="n">
        <v>0.9346994802597614</v>
      </c>
      <c r="AR17" t="n">
        <v>3.886082911399097e-07</v>
      </c>
      <c r="AS17" t="n">
        <v>1</v>
      </c>
      <c r="AT17" t="n">
        <v>1</v>
      </c>
      <c r="AU17" t="n">
        <v>5</v>
      </c>
    </row>
    <row r="18" spans="1:47">
      <c r="A18" t="n">
        <v>12</v>
      </c>
      <c r="B18" t="s">
        <v>41</v>
      </c>
      <c r="C18" t="n">
        <v>0.5</v>
      </c>
      <c r="D18" t="n">
        <v>0.6000000000000001</v>
      </c>
      <c r="E18">
        <f>HYPERLINK("file:///home/hermansyah/Aplikasi%20TA/data/luasdaun/12_atas.png","LINK")</f>
        <v/>
      </c>
      <c r="F18">
        <f>HYPERLINK("file:///home/hermansyah/Aplikasi%20TA/data/luasdaun/12_bawah.png","LINK")</f>
        <v/>
      </c>
      <c r="G18" t="n">
        <v>2</v>
      </c>
      <c r="H18" t="n">
        <v>51</v>
      </c>
      <c r="I18" t="n">
        <v>19</v>
      </c>
      <c r="J18" t="n">
        <v>90</v>
      </c>
      <c r="K18" t="n">
        <v>110</v>
      </c>
      <c r="L18" t="n">
        <v>97</v>
      </c>
      <c r="M18" t="n">
        <v>122</v>
      </c>
      <c r="N18" t="n">
        <v>134</v>
      </c>
      <c r="O18" t="n">
        <v>128</v>
      </c>
      <c r="P18" t="n">
        <v>127</v>
      </c>
      <c r="Q18" t="n">
        <v>138</v>
      </c>
      <c r="R18" t="n">
        <v>130</v>
      </c>
      <c r="S18" t="n">
        <v>130</v>
      </c>
      <c r="T18" t="n">
        <v>140</v>
      </c>
      <c r="U18" t="n">
        <v>128</v>
      </c>
      <c r="V18" t="n">
        <v>2</v>
      </c>
      <c r="W18" t="n">
        <v>57</v>
      </c>
      <c r="X18" t="n">
        <v>24</v>
      </c>
      <c r="Y18" t="n">
        <v>3</v>
      </c>
      <c r="Z18" t="n">
        <v>45</v>
      </c>
      <c r="AA18" t="n">
        <v>22</v>
      </c>
      <c r="AB18" t="n">
        <v>127</v>
      </c>
      <c r="AC18" t="n">
        <v>137</v>
      </c>
      <c r="AD18" t="n">
        <v>131</v>
      </c>
      <c r="AE18" t="n">
        <v>125</v>
      </c>
      <c r="AF18" t="n">
        <v>136</v>
      </c>
      <c r="AG18" t="n">
        <v>128</v>
      </c>
      <c r="AH18" t="n">
        <v>129</v>
      </c>
      <c r="AI18" t="n">
        <v>137</v>
      </c>
      <c r="AJ18" t="n">
        <v>126</v>
      </c>
      <c r="AK18">
        <f>HYPERLINK("file:///home/hermansyah/Aplikasi%20TA/data/rgbdaun/12.png","LINK")</f>
        <v/>
      </c>
      <c r="AL18" t="n">
        <v>6</v>
      </c>
      <c r="AM18" t="n">
        <v>7</v>
      </c>
      <c r="AN18">
        <f>HYPERLINK("file:///home/hermansyah/Aplikasi%20TA/data/kelilingdaun/12_atas.png","LINK")</f>
        <v/>
      </c>
      <c r="AO18">
        <f>HYPERLINK("file:///home/hermansyah/Aplikasi%20TA/data/kelilingdaun/12_bawah.png","LINK")</f>
        <v/>
      </c>
      <c r="AP18" t="n">
        <v>0.999940775133478</v>
      </c>
      <c r="AQ18" t="n">
        <v>0.9346994802597614</v>
      </c>
      <c r="AR18" t="n">
        <v>2.937126931060956e-07</v>
      </c>
      <c r="AS18" t="n">
        <v>1</v>
      </c>
      <c r="AT18" t="n">
        <v>1</v>
      </c>
      <c r="AU18" t="n">
        <v>1</v>
      </c>
    </row>
    <row r="19" spans="1:47">
      <c r="A19" t="n">
        <v>13</v>
      </c>
      <c r="B19" t="s">
        <v>42</v>
      </c>
      <c r="C19" t="n">
        <v>0.5</v>
      </c>
      <c r="D19" t="n">
        <v>0.7000000000000001</v>
      </c>
      <c r="E19">
        <f>HYPERLINK("file:///home/hermansyah/Aplikasi%20TA/data/luasdaun/13_atas.png","LINK")</f>
        <v/>
      </c>
      <c r="F19">
        <f>HYPERLINK("file:///home/hermansyah/Aplikasi%20TA/data/luasdaun/13_bawah.png","LINK")</f>
        <v/>
      </c>
      <c r="G19" t="n">
        <v>0</v>
      </c>
      <c r="H19" t="n">
        <v>61</v>
      </c>
      <c r="I19" t="n">
        <v>21</v>
      </c>
      <c r="J19" t="n">
        <v>121</v>
      </c>
      <c r="K19" t="n">
        <v>131</v>
      </c>
      <c r="L19" t="n">
        <v>118</v>
      </c>
      <c r="M19" t="n">
        <v>122</v>
      </c>
      <c r="N19" t="n">
        <v>135</v>
      </c>
      <c r="O19" t="n">
        <v>127</v>
      </c>
      <c r="P19" t="n">
        <v>124</v>
      </c>
      <c r="Q19" t="n">
        <v>135</v>
      </c>
      <c r="R19" t="n">
        <v>127</v>
      </c>
      <c r="S19" t="n">
        <v>127</v>
      </c>
      <c r="T19" t="n">
        <v>137</v>
      </c>
      <c r="U19" t="n">
        <v>124</v>
      </c>
      <c r="V19" t="n">
        <v>0</v>
      </c>
      <c r="W19" t="n">
        <v>60</v>
      </c>
      <c r="X19" t="n">
        <v>20</v>
      </c>
      <c r="Y19" t="n">
        <v>116</v>
      </c>
      <c r="Z19" t="n">
        <v>126</v>
      </c>
      <c r="AA19" t="n">
        <v>113</v>
      </c>
      <c r="AB19" t="n">
        <v>124</v>
      </c>
      <c r="AC19" t="n">
        <v>135</v>
      </c>
      <c r="AD19" t="n">
        <v>127</v>
      </c>
      <c r="AE19" t="n">
        <v>123</v>
      </c>
      <c r="AF19" t="n">
        <v>134</v>
      </c>
      <c r="AG19" t="n">
        <v>124</v>
      </c>
      <c r="AH19" t="n">
        <v>128</v>
      </c>
      <c r="AI19" t="n">
        <v>137</v>
      </c>
      <c r="AJ19" t="n">
        <v>124</v>
      </c>
      <c r="AK19">
        <f>HYPERLINK("file:///home/hermansyah/Aplikasi%20TA/data/rgbdaun/13.png","LINK")</f>
        <v/>
      </c>
      <c r="AL19" t="n">
        <v>5</v>
      </c>
      <c r="AM19" t="n">
        <v>7</v>
      </c>
      <c r="AN19">
        <f>HYPERLINK("file:///home/hermansyah/Aplikasi%20TA/data/kelilingdaun/13_atas.png","LINK")</f>
        <v/>
      </c>
      <c r="AO19">
        <f>HYPERLINK("file:///home/hermansyah/Aplikasi%20TA/data/kelilingdaun/13_bawah.png","LINK")</f>
        <v/>
      </c>
      <c r="AP19" t="n">
        <v>0.9999401262704198</v>
      </c>
      <c r="AQ19" t="n">
        <v>0.9339283750491904</v>
      </c>
      <c r="AR19" t="n">
        <v>2.936972448420471e-07</v>
      </c>
      <c r="AS19" t="n">
        <v>1</v>
      </c>
      <c r="AT19" t="n">
        <v>1</v>
      </c>
      <c r="AU19" t="n">
        <v>0</v>
      </c>
    </row>
    <row r="20" spans="1:47">
      <c r="A20" t="n">
        <v>14</v>
      </c>
      <c r="B20" t="s">
        <v>43</v>
      </c>
      <c r="C20" t="n">
        <v>0.6000000000000001</v>
      </c>
      <c r="D20" t="n">
        <v>0.6000000000000001</v>
      </c>
      <c r="E20">
        <f>HYPERLINK("file:///home/hermansyah/Aplikasi%20TA/data/luasdaun/14_atas.png","LINK")</f>
        <v/>
      </c>
      <c r="F20">
        <f>HYPERLINK("file:///home/hermansyah/Aplikasi%20TA/data/luasdaun/14_bawah.png","LINK")</f>
        <v/>
      </c>
      <c r="G20" t="n">
        <v>0</v>
      </c>
      <c r="H20" t="n">
        <v>44</v>
      </c>
      <c r="I20" t="n">
        <v>17</v>
      </c>
      <c r="J20" t="n">
        <v>5</v>
      </c>
      <c r="K20" t="n">
        <v>44</v>
      </c>
      <c r="L20" t="n">
        <v>22</v>
      </c>
      <c r="M20" t="n">
        <v>122</v>
      </c>
      <c r="N20" t="n">
        <v>134</v>
      </c>
      <c r="O20" t="n">
        <v>128</v>
      </c>
      <c r="P20" t="n">
        <v>124</v>
      </c>
      <c r="Q20" t="n">
        <v>135</v>
      </c>
      <c r="R20" t="n">
        <v>127</v>
      </c>
      <c r="S20" t="n">
        <v>126</v>
      </c>
      <c r="T20" t="n">
        <v>136</v>
      </c>
      <c r="U20" t="n">
        <v>124</v>
      </c>
      <c r="V20" t="n">
        <v>3</v>
      </c>
      <c r="W20" t="n">
        <v>54</v>
      </c>
      <c r="X20" t="n">
        <v>26</v>
      </c>
      <c r="Y20" t="n">
        <v>9</v>
      </c>
      <c r="Z20" t="n">
        <v>53</v>
      </c>
      <c r="AA20" t="n">
        <v>30</v>
      </c>
      <c r="AB20" t="n">
        <v>125</v>
      </c>
      <c r="AC20" t="n">
        <v>135</v>
      </c>
      <c r="AD20" t="n">
        <v>129</v>
      </c>
      <c r="AE20" t="n">
        <v>123</v>
      </c>
      <c r="AF20" t="n">
        <v>134</v>
      </c>
      <c r="AG20" t="n">
        <v>126</v>
      </c>
      <c r="AH20" t="n">
        <v>127</v>
      </c>
      <c r="AI20" t="n">
        <v>137</v>
      </c>
      <c r="AJ20" t="n">
        <v>125</v>
      </c>
      <c r="AK20">
        <f>HYPERLINK("file:///home/hermansyah/Aplikasi%20TA/data/rgbdaun/14.png","LINK")</f>
        <v/>
      </c>
      <c r="AL20" t="n">
        <v>7</v>
      </c>
      <c r="AM20" t="n">
        <v>6</v>
      </c>
      <c r="AN20">
        <f>HYPERLINK("file:///home/hermansyah/Aplikasi%20TA/data/kelilingdaun/14_atas.png","LINK")</f>
        <v/>
      </c>
      <c r="AO20">
        <f>HYPERLINK("file:///home/hermansyah/Aplikasi%20TA/data/kelilingdaun/14_bawah.png","LINK")</f>
        <v/>
      </c>
      <c r="AP20" t="n">
        <v>0.9999413019257783</v>
      </c>
      <c r="AQ20" t="n">
        <v>0.7746111599931712</v>
      </c>
      <c r="AR20" t="n">
        <v>2.173234499998714e-06</v>
      </c>
      <c r="AS20" t="n">
        <v>1</v>
      </c>
      <c r="AT20" t="n">
        <v>1</v>
      </c>
      <c r="AU20" t="n">
        <v>0</v>
      </c>
    </row>
    <row r="21" spans="1:47">
      <c r="A21" t="n">
        <v>15</v>
      </c>
      <c r="B21" t="s">
        <v>44</v>
      </c>
      <c r="C21" t="n">
        <v>0.5</v>
      </c>
      <c r="D21" t="n">
        <v>0.8</v>
      </c>
      <c r="E21">
        <f>HYPERLINK("file:///home/hermansyah/Aplikasi%20TA/data/luasdaun/15_atas.png","LINK")</f>
        <v/>
      </c>
      <c r="F21">
        <f>HYPERLINK("file:///home/hermansyah/Aplikasi%20TA/data/luasdaun/15_bawah.png","LINK")</f>
        <v/>
      </c>
      <c r="G21" t="n">
        <v>0</v>
      </c>
      <c r="H21" t="n">
        <v>78</v>
      </c>
      <c r="I21" t="n">
        <v>47</v>
      </c>
      <c r="J21" t="n">
        <v>0</v>
      </c>
      <c r="K21" t="n">
        <v>75</v>
      </c>
      <c r="L21" t="n">
        <v>51</v>
      </c>
      <c r="M21" t="n">
        <v>120</v>
      </c>
      <c r="N21" t="n">
        <v>134</v>
      </c>
      <c r="O21" t="n">
        <v>128</v>
      </c>
      <c r="P21" t="n">
        <v>126</v>
      </c>
      <c r="Q21" t="n">
        <v>137</v>
      </c>
      <c r="R21" t="n">
        <v>127</v>
      </c>
      <c r="S21" t="n">
        <v>129</v>
      </c>
      <c r="T21" t="n">
        <v>139</v>
      </c>
      <c r="U21" t="n">
        <v>126</v>
      </c>
      <c r="V21" t="n">
        <v>1</v>
      </c>
      <c r="W21" t="n">
        <v>75</v>
      </c>
      <c r="X21" t="n">
        <v>39</v>
      </c>
      <c r="Y21" t="n">
        <v>0</v>
      </c>
      <c r="Z21" t="n">
        <v>67</v>
      </c>
      <c r="AA21" t="n">
        <v>38</v>
      </c>
      <c r="AB21" t="n">
        <v>123</v>
      </c>
      <c r="AC21" t="n">
        <v>135</v>
      </c>
      <c r="AD21" t="n">
        <v>129</v>
      </c>
      <c r="AE21" t="n">
        <v>126</v>
      </c>
      <c r="AF21" t="n">
        <v>137</v>
      </c>
      <c r="AG21" t="n">
        <v>129</v>
      </c>
      <c r="AH21" t="n">
        <v>128</v>
      </c>
      <c r="AI21" t="n">
        <v>138</v>
      </c>
      <c r="AJ21" t="n">
        <v>126</v>
      </c>
      <c r="AK21">
        <f>HYPERLINK("file:///home/hermansyah/Aplikasi%20TA/data/rgbdaun/15.png","LINK")</f>
        <v/>
      </c>
      <c r="AL21" t="n">
        <v>6</v>
      </c>
      <c r="AM21" t="n">
        <v>7</v>
      </c>
      <c r="AN21">
        <f>HYPERLINK("file:///home/hermansyah/Aplikasi%20TA/data/kelilingdaun/15_atas.png","LINK")</f>
        <v/>
      </c>
      <c r="AO21">
        <f>HYPERLINK("file:///home/hermansyah/Aplikasi%20TA/data/kelilingdaun/15_bawah.png","LINK")</f>
        <v/>
      </c>
      <c r="AP21" t="n">
        <v>0.9999350298310089</v>
      </c>
      <c r="AQ21" t="n">
        <v>0.9346994802597614</v>
      </c>
      <c r="AR21" t="n">
        <v>1.476049856556322e-06</v>
      </c>
      <c r="AS21" t="n">
        <v>1</v>
      </c>
      <c r="AT21" t="n">
        <v>1</v>
      </c>
      <c r="AU21" t="n">
        <v>1</v>
      </c>
    </row>
    <row r="22" spans="1:47">
      <c r="A22" t="n">
        <v>16</v>
      </c>
      <c r="B22" t="s">
        <v>45</v>
      </c>
      <c r="C22" t="n">
        <v>0.6000000000000001</v>
      </c>
      <c r="D22" t="n">
        <v>0.8</v>
      </c>
      <c r="E22">
        <f>HYPERLINK("file:///home/hermansyah/Aplikasi%20TA/data/luasdaun/16_atas.png","LINK")</f>
        <v/>
      </c>
      <c r="F22">
        <f>HYPERLINK("file:///home/hermansyah/Aplikasi%20TA/data/luasdaun/16_bawah.png","LINK")</f>
        <v/>
      </c>
      <c r="G22" t="n">
        <v>2</v>
      </c>
      <c r="H22" t="n">
        <v>51</v>
      </c>
      <c r="I22" t="n">
        <v>19</v>
      </c>
      <c r="J22" t="n">
        <v>122</v>
      </c>
      <c r="K22" t="n">
        <v>132</v>
      </c>
      <c r="L22" t="n">
        <v>120</v>
      </c>
      <c r="M22" t="n">
        <v>122</v>
      </c>
      <c r="N22" t="n">
        <v>134</v>
      </c>
      <c r="O22" t="n">
        <v>128</v>
      </c>
      <c r="P22" t="n">
        <v>127</v>
      </c>
      <c r="Q22" t="n">
        <v>138</v>
      </c>
      <c r="R22" t="n">
        <v>130</v>
      </c>
      <c r="S22" t="n">
        <v>129</v>
      </c>
      <c r="T22" t="n">
        <v>139</v>
      </c>
      <c r="U22" t="n">
        <v>127</v>
      </c>
      <c r="V22" t="n">
        <v>1</v>
      </c>
      <c r="W22" t="n">
        <v>49</v>
      </c>
      <c r="X22" t="n">
        <v>21</v>
      </c>
      <c r="Y22" t="n">
        <v>114</v>
      </c>
      <c r="Z22" t="n">
        <v>124</v>
      </c>
      <c r="AA22" t="n">
        <v>111</v>
      </c>
      <c r="AB22" t="n">
        <v>126</v>
      </c>
      <c r="AC22" t="n">
        <v>136</v>
      </c>
      <c r="AD22" t="n">
        <v>130</v>
      </c>
      <c r="AE22" t="n">
        <v>127</v>
      </c>
      <c r="AF22" t="n">
        <v>137</v>
      </c>
      <c r="AG22" t="n">
        <v>131</v>
      </c>
      <c r="AH22" t="n">
        <v>128</v>
      </c>
      <c r="AI22" t="n">
        <v>138</v>
      </c>
      <c r="AJ22" t="n">
        <v>126</v>
      </c>
      <c r="AK22">
        <f>HYPERLINK("file:///home/hermansyah/Aplikasi%20TA/data/rgbdaun/16.png","LINK")</f>
        <v/>
      </c>
      <c r="AL22" t="n">
        <v>6</v>
      </c>
      <c r="AM22" t="n">
        <v>8</v>
      </c>
      <c r="AN22">
        <f>HYPERLINK("file:///home/hermansyah/Aplikasi%20TA/data/kelilingdaun/16_atas.png","LINK")</f>
        <v/>
      </c>
      <c r="AO22">
        <f>HYPERLINK("file:///home/hermansyah/Aplikasi%20TA/data/kelilingdaun/16_bawah.png","LINK")</f>
        <v/>
      </c>
      <c r="AP22" t="n">
        <v>0.9999345763423753</v>
      </c>
      <c r="AQ22" t="n">
        <v>0.9357535823849712</v>
      </c>
      <c r="AR22" t="n">
        <v>2.936972448420471e-07</v>
      </c>
      <c r="AS22" t="n">
        <v>1</v>
      </c>
      <c r="AT22" t="n">
        <v>1</v>
      </c>
      <c r="AU22" t="n">
        <v>0</v>
      </c>
    </row>
    <row r="23" spans="1:47">
      <c r="A23" t="n">
        <v>17</v>
      </c>
      <c r="B23" t="s">
        <v>46</v>
      </c>
      <c r="C23" t="n">
        <v>0.5</v>
      </c>
      <c r="D23" t="n">
        <v>0.6000000000000001</v>
      </c>
      <c r="E23">
        <f>HYPERLINK("file:///home/hermansyah/Aplikasi%20TA/data/luasdaun/17_atas.png","LINK")</f>
        <v/>
      </c>
      <c r="F23">
        <f>HYPERLINK("file:///home/hermansyah/Aplikasi%20TA/data/luasdaun/17_bawah.png","LINK")</f>
        <v/>
      </c>
      <c r="G23" t="n">
        <v>0</v>
      </c>
      <c r="H23" t="n">
        <v>83</v>
      </c>
      <c r="I23" t="n">
        <v>55</v>
      </c>
      <c r="J23" t="n">
        <v>0</v>
      </c>
      <c r="K23" t="n">
        <v>81</v>
      </c>
      <c r="L23" t="n">
        <v>62</v>
      </c>
      <c r="M23" t="n">
        <v>122</v>
      </c>
      <c r="N23" t="n">
        <v>134</v>
      </c>
      <c r="O23" t="n">
        <v>128</v>
      </c>
      <c r="P23" t="n">
        <v>127</v>
      </c>
      <c r="Q23" t="n">
        <v>138</v>
      </c>
      <c r="R23" t="n">
        <v>128</v>
      </c>
      <c r="S23" t="n">
        <v>128</v>
      </c>
      <c r="T23" t="n">
        <v>140</v>
      </c>
      <c r="U23" t="n">
        <v>128</v>
      </c>
      <c r="V23" t="n">
        <v>0</v>
      </c>
      <c r="W23" t="n">
        <v>69</v>
      </c>
      <c r="X23" t="n">
        <v>33</v>
      </c>
      <c r="Y23" t="n">
        <v>105</v>
      </c>
      <c r="Z23" t="n">
        <v>125</v>
      </c>
      <c r="AA23" t="n">
        <v>112</v>
      </c>
      <c r="AB23" t="n">
        <v>123</v>
      </c>
      <c r="AC23" t="n">
        <v>136</v>
      </c>
      <c r="AD23" t="n">
        <v>128</v>
      </c>
      <c r="AE23" t="n">
        <v>126</v>
      </c>
      <c r="AF23" t="n">
        <v>137</v>
      </c>
      <c r="AG23" t="n">
        <v>129</v>
      </c>
      <c r="AH23" t="n">
        <v>128</v>
      </c>
      <c r="AI23" t="n">
        <v>138</v>
      </c>
      <c r="AJ23" t="n">
        <v>125</v>
      </c>
      <c r="AK23">
        <f>HYPERLINK("file:///home/hermansyah/Aplikasi%20TA/data/rgbdaun/17.png","LINK")</f>
        <v/>
      </c>
      <c r="AL23" t="n">
        <v>6</v>
      </c>
      <c r="AM23" t="n">
        <v>6</v>
      </c>
      <c r="AN23">
        <f>HYPERLINK("file:///home/hermansyah/Aplikasi%20TA/data/kelilingdaun/17_atas.png","LINK")</f>
        <v/>
      </c>
      <c r="AO23">
        <f>HYPERLINK("file:///home/hermansyah/Aplikasi%20TA/data/kelilingdaun/17_bawah.png","LINK")</f>
        <v/>
      </c>
      <c r="AP23" t="n">
        <v>0.999940775133478</v>
      </c>
      <c r="AQ23" t="n">
        <v>0.9295883900051742</v>
      </c>
      <c r="AR23" t="n">
        <v>2.936972653081722e-07</v>
      </c>
      <c r="AS23" t="n">
        <v>1</v>
      </c>
      <c r="AT23" t="n">
        <v>1</v>
      </c>
      <c r="AU23" t="n">
        <v>1</v>
      </c>
    </row>
    <row r="24" spans="1:47">
      <c r="A24" t="n">
        <v>18</v>
      </c>
      <c r="B24" t="s">
        <v>47</v>
      </c>
      <c r="C24" t="n">
        <v>0.8</v>
      </c>
      <c r="D24" t="n">
        <v>1</v>
      </c>
      <c r="E24">
        <f>HYPERLINK("file:///home/hermansyah/Aplikasi%20TA/data/luasdaun/18_atas.png","LINK")</f>
        <v/>
      </c>
      <c r="F24">
        <f>HYPERLINK("file:///home/hermansyah/Aplikasi%20TA/data/luasdaun/18_bawah.png","LINK")</f>
        <v/>
      </c>
      <c r="G24" t="n">
        <v>0</v>
      </c>
      <c r="H24" t="n">
        <v>52</v>
      </c>
      <c r="I24" t="n">
        <v>19</v>
      </c>
      <c r="J24" t="n">
        <v>8</v>
      </c>
      <c r="K24" t="n">
        <v>46</v>
      </c>
      <c r="L24" t="n">
        <v>24</v>
      </c>
      <c r="M24" t="n">
        <v>120</v>
      </c>
      <c r="N24" t="n">
        <v>134</v>
      </c>
      <c r="O24" t="n">
        <v>128</v>
      </c>
      <c r="P24" t="n">
        <v>125</v>
      </c>
      <c r="Q24" t="n">
        <v>136</v>
      </c>
      <c r="R24" t="n">
        <v>128</v>
      </c>
      <c r="S24" t="n">
        <v>126</v>
      </c>
      <c r="T24" t="n">
        <v>138</v>
      </c>
      <c r="U24" t="n">
        <v>126</v>
      </c>
      <c r="V24" t="n">
        <v>6</v>
      </c>
      <c r="W24" t="n">
        <v>56</v>
      </c>
      <c r="X24" t="n">
        <v>26</v>
      </c>
      <c r="Y24" t="n">
        <v>5</v>
      </c>
      <c r="Z24" t="n">
        <v>41</v>
      </c>
      <c r="AA24" t="n">
        <v>19</v>
      </c>
      <c r="AB24" t="n">
        <v>122</v>
      </c>
      <c r="AC24" t="n">
        <v>134</v>
      </c>
      <c r="AD24" t="n">
        <v>128</v>
      </c>
      <c r="AE24" t="n">
        <v>123</v>
      </c>
      <c r="AF24" t="n">
        <v>134</v>
      </c>
      <c r="AG24" t="n">
        <v>126</v>
      </c>
      <c r="AH24" t="n">
        <v>126</v>
      </c>
      <c r="AI24" t="n">
        <v>136</v>
      </c>
      <c r="AJ24" t="n">
        <v>124</v>
      </c>
      <c r="AK24">
        <f>HYPERLINK("file:///home/hermansyah/Aplikasi%20TA/data/rgbdaun/18.png","LINK")</f>
        <v/>
      </c>
      <c r="AL24" t="n">
        <v>9</v>
      </c>
      <c r="AM24" t="n">
        <v>7</v>
      </c>
      <c r="AN24">
        <f>HYPERLINK("file:///home/hermansyah/Aplikasi%20TA/data/kelilingdaun/18_atas.png","LINK")</f>
        <v/>
      </c>
      <c r="AO24">
        <f>HYPERLINK("file:///home/hermansyah/Aplikasi%20TA/data/kelilingdaun/18_bawah.png","LINK")</f>
        <v/>
      </c>
      <c r="AP24" t="n">
        <v>0.9997991837161323</v>
      </c>
      <c r="AQ24" t="n">
        <v>0.7064158341056297</v>
      </c>
      <c r="AR24" t="n">
        <v>2.191377204986442e-06</v>
      </c>
      <c r="AS24" t="n">
        <v>1</v>
      </c>
      <c r="AT24" t="n">
        <v>1</v>
      </c>
      <c r="AU24" t="n">
        <v>1</v>
      </c>
    </row>
    <row r="25" spans="1:47">
      <c r="A25" t="n">
        <v>19</v>
      </c>
      <c r="B25" t="s">
        <v>48</v>
      </c>
      <c r="C25" t="n">
        <v>0.8</v>
      </c>
      <c r="D25" t="n">
        <v>1</v>
      </c>
      <c r="E25">
        <f>HYPERLINK("file:///home/hermansyah/Aplikasi%20TA/data/luasdaun/19_atas.png","LINK")</f>
        <v/>
      </c>
      <c r="F25">
        <f>HYPERLINK("file:///home/hermansyah/Aplikasi%20TA/data/luasdaun/19_bawah.png","LINK")</f>
        <v/>
      </c>
      <c r="G25" t="n">
        <v>0</v>
      </c>
      <c r="H25" t="n">
        <v>58</v>
      </c>
      <c r="I25" t="n">
        <v>18</v>
      </c>
      <c r="J25" t="n">
        <v>1</v>
      </c>
      <c r="K25" t="n">
        <v>67</v>
      </c>
      <c r="L25" t="n">
        <v>32</v>
      </c>
      <c r="M25" t="n">
        <v>122</v>
      </c>
      <c r="N25" t="n">
        <v>135</v>
      </c>
      <c r="O25" t="n">
        <v>127</v>
      </c>
      <c r="P25" t="n">
        <v>126</v>
      </c>
      <c r="Q25" t="n">
        <v>137</v>
      </c>
      <c r="R25" t="n">
        <v>127</v>
      </c>
      <c r="S25" t="n">
        <v>128</v>
      </c>
      <c r="T25" t="n">
        <v>138</v>
      </c>
      <c r="U25" t="n">
        <v>126</v>
      </c>
      <c r="V25" t="n">
        <v>0</v>
      </c>
      <c r="W25" t="n">
        <v>57</v>
      </c>
      <c r="X25" t="n">
        <v>17</v>
      </c>
      <c r="Y25" t="n">
        <v>0</v>
      </c>
      <c r="Z25" t="n">
        <v>61</v>
      </c>
      <c r="AA25" t="n">
        <v>29</v>
      </c>
      <c r="AB25" t="n">
        <v>126</v>
      </c>
      <c r="AC25" t="n">
        <v>137</v>
      </c>
      <c r="AD25" t="n">
        <v>129</v>
      </c>
      <c r="AE25" t="n">
        <v>125</v>
      </c>
      <c r="AF25" t="n">
        <v>136</v>
      </c>
      <c r="AG25" t="n">
        <v>126</v>
      </c>
      <c r="AH25" t="n">
        <v>126</v>
      </c>
      <c r="AI25" t="n">
        <v>136</v>
      </c>
      <c r="AJ25" t="n">
        <v>123</v>
      </c>
      <c r="AK25">
        <f>HYPERLINK("file:///home/hermansyah/Aplikasi%20TA/data/rgbdaun/19.png","LINK")</f>
        <v/>
      </c>
      <c r="AL25" t="n">
        <v>6</v>
      </c>
      <c r="AM25" t="n">
        <v>8</v>
      </c>
      <c r="AN25">
        <f>HYPERLINK("file:///home/hermansyah/Aplikasi%20TA/data/kelilingdaun/19_atas.png","LINK")</f>
        <v/>
      </c>
      <c r="AO25">
        <f>HYPERLINK("file:///home/hermansyah/Aplikasi%20TA/data/kelilingdaun/19_bawah.png","LINK")</f>
        <v/>
      </c>
      <c r="AP25" t="n">
        <v>0.9997991837161323</v>
      </c>
      <c r="AQ25" t="n">
        <v>0.9357535823849712</v>
      </c>
      <c r="AR25" t="n">
        <v>2.149767722731428e-06</v>
      </c>
      <c r="AS25" t="n">
        <v>1</v>
      </c>
      <c r="AT25" t="n">
        <v>1</v>
      </c>
      <c r="AU25" t="n">
        <v>1</v>
      </c>
    </row>
    <row r="26" spans="1:47">
      <c r="A26" t="n">
        <v>20</v>
      </c>
      <c r="B26" t="s">
        <v>49</v>
      </c>
      <c r="C26" t="n">
        <v>0.4</v>
      </c>
      <c r="D26" t="n">
        <v>0.6000000000000001</v>
      </c>
      <c r="E26">
        <f>HYPERLINK("file:///home/hermansyah/Aplikasi%20TA/data/luasdaun/20_atas.png","LINK")</f>
        <v/>
      </c>
      <c r="F26">
        <f>HYPERLINK("file:///home/hermansyah/Aplikasi%20TA/data/luasdaun/20_bawah.png","LINK")</f>
        <v/>
      </c>
      <c r="G26" t="n">
        <v>1</v>
      </c>
      <c r="H26" t="n">
        <v>61</v>
      </c>
      <c r="I26" t="n">
        <v>27</v>
      </c>
      <c r="J26" t="n">
        <v>123</v>
      </c>
      <c r="K26" t="n">
        <v>133</v>
      </c>
      <c r="L26" t="n">
        <v>121</v>
      </c>
      <c r="M26" t="n">
        <v>124</v>
      </c>
      <c r="N26" t="n">
        <v>136</v>
      </c>
      <c r="O26" t="n">
        <v>130</v>
      </c>
      <c r="P26" t="n">
        <v>128</v>
      </c>
      <c r="Q26" t="n">
        <v>139</v>
      </c>
      <c r="R26" t="n">
        <v>131</v>
      </c>
      <c r="S26" t="n">
        <v>131</v>
      </c>
      <c r="T26" t="n">
        <v>141</v>
      </c>
      <c r="U26" t="n">
        <v>129</v>
      </c>
      <c r="V26" t="n">
        <v>5</v>
      </c>
      <c r="W26" t="n">
        <v>54</v>
      </c>
      <c r="X26" t="n">
        <v>22</v>
      </c>
      <c r="Y26" t="n">
        <v>122</v>
      </c>
      <c r="Z26" t="n">
        <v>130</v>
      </c>
      <c r="AA26" t="n">
        <v>119</v>
      </c>
      <c r="AB26" t="n">
        <v>127</v>
      </c>
      <c r="AC26" t="n">
        <v>137</v>
      </c>
      <c r="AD26" t="n">
        <v>131</v>
      </c>
      <c r="AE26" t="n">
        <v>130</v>
      </c>
      <c r="AF26" t="n">
        <v>138</v>
      </c>
      <c r="AG26" t="n">
        <v>131</v>
      </c>
      <c r="AH26" t="n">
        <v>130</v>
      </c>
      <c r="AI26" t="n">
        <v>140</v>
      </c>
      <c r="AJ26" t="n">
        <v>128</v>
      </c>
      <c r="AK26">
        <f>HYPERLINK("file:///home/hermansyah/Aplikasi%20TA/data/rgbdaun/20.png","LINK")</f>
        <v/>
      </c>
      <c r="AL26" t="n">
        <v>6</v>
      </c>
      <c r="AM26" t="n">
        <v>6</v>
      </c>
      <c r="AN26">
        <f>HYPERLINK("file:///home/hermansyah/Aplikasi%20TA/data/kelilingdaun/20_atas.png","LINK")</f>
        <v/>
      </c>
      <c r="AO26">
        <f>HYPERLINK("file:///home/hermansyah/Aplikasi%20TA/data/kelilingdaun/20_bawah.png","LINK")</f>
        <v/>
      </c>
      <c r="AP26" t="n">
        <v>0.9999389477073977</v>
      </c>
      <c r="AQ26" t="n">
        <v>0.9295883900051742</v>
      </c>
      <c r="AR26" t="n">
        <v>2.936972448420471e-07</v>
      </c>
      <c r="AS26" t="n">
        <v>1</v>
      </c>
      <c r="AT26" t="n">
        <v>1</v>
      </c>
      <c r="AU26" t="n">
        <v>0</v>
      </c>
    </row>
    <row r="27" spans="1:47">
      <c r="A27" t="n">
        <v>21</v>
      </c>
      <c r="B27" t="s">
        <v>50</v>
      </c>
      <c r="C27" t="n">
        <v>0.5</v>
      </c>
      <c r="D27" t="n">
        <v>0.5</v>
      </c>
      <c r="E27">
        <f>HYPERLINK("file:///home/hermansyah/Aplikasi%20TA/data/luasdaun/21_atas.png","LINK")</f>
        <v/>
      </c>
      <c r="F27">
        <f>HYPERLINK("file:///home/hermansyah/Aplikasi%20TA/data/luasdaun/21_bawah.png","LINK")</f>
        <v/>
      </c>
      <c r="G27" t="n">
        <v>0</v>
      </c>
      <c r="H27" t="n">
        <v>54</v>
      </c>
      <c r="I27" t="n">
        <v>21</v>
      </c>
      <c r="J27" t="n">
        <v>125</v>
      </c>
      <c r="K27" t="n">
        <v>135</v>
      </c>
      <c r="L27" t="n">
        <v>123</v>
      </c>
      <c r="M27" t="n">
        <v>126</v>
      </c>
      <c r="N27" t="n">
        <v>138</v>
      </c>
      <c r="O27" t="n">
        <v>132</v>
      </c>
      <c r="P27" t="n">
        <v>130</v>
      </c>
      <c r="Q27" t="n">
        <v>141</v>
      </c>
      <c r="R27" t="n">
        <v>133</v>
      </c>
      <c r="S27" t="n">
        <v>131</v>
      </c>
      <c r="T27" t="n">
        <v>141</v>
      </c>
      <c r="U27" t="n">
        <v>129</v>
      </c>
      <c r="V27" t="n">
        <v>0</v>
      </c>
      <c r="W27" t="n">
        <v>55</v>
      </c>
      <c r="X27" t="n">
        <v>20</v>
      </c>
      <c r="Y27" t="n">
        <v>124</v>
      </c>
      <c r="Z27" t="n">
        <v>132</v>
      </c>
      <c r="AA27" t="n">
        <v>121</v>
      </c>
      <c r="AB27" t="n">
        <v>127</v>
      </c>
      <c r="AC27" t="n">
        <v>137</v>
      </c>
      <c r="AD27" t="n">
        <v>131</v>
      </c>
      <c r="AE27" t="n">
        <v>127</v>
      </c>
      <c r="AF27" t="n">
        <v>138</v>
      </c>
      <c r="AG27" t="n">
        <v>130</v>
      </c>
      <c r="AH27" t="n">
        <v>129</v>
      </c>
      <c r="AI27" t="n">
        <v>139</v>
      </c>
      <c r="AJ27" t="n">
        <v>127</v>
      </c>
      <c r="AK27">
        <f>HYPERLINK("file:///home/hermansyah/Aplikasi%20TA/data/rgbdaun/21.png","LINK")</f>
        <v/>
      </c>
      <c r="AL27" t="n">
        <v>6</v>
      </c>
      <c r="AM27" t="n">
        <v>5</v>
      </c>
      <c r="AN27">
        <f>HYPERLINK("file:///home/hermansyah/Aplikasi%20TA/data/kelilingdaun/21_atas.png","LINK")</f>
        <v/>
      </c>
      <c r="AO27">
        <f>HYPERLINK("file:///home/hermansyah/Aplikasi%20TA/data/kelilingdaun/21_bawah.png","LINK")</f>
        <v/>
      </c>
      <c r="AP27" t="n">
        <v>0.9999381566769263</v>
      </c>
      <c r="AQ27" t="n">
        <v>0.7898723675754219</v>
      </c>
      <c r="AR27" t="n">
        <v>2.936972448420471e-07</v>
      </c>
      <c r="AS27" t="n">
        <v>1</v>
      </c>
      <c r="AT27" t="n">
        <v>1</v>
      </c>
      <c r="AU27" t="n">
        <v>0</v>
      </c>
    </row>
    <row r="28" spans="1:47">
      <c r="A28" t="n">
        <v>22</v>
      </c>
      <c r="B28" t="s">
        <v>51</v>
      </c>
      <c r="C28" t="n">
        <v>0.7000000000000001</v>
      </c>
      <c r="D28" t="n">
        <v>0.7000000000000001</v>
      </c>
      <c r="E28">
        <f>HYPERLINK("file:///home/hermansyah/Aplikasi%20TA/data/luasdaun/22_atas.png","LINK")</f>
        <v/>
      </c>
      <c r="F28">
        <f>HYPERLINK("file:///home/hermansyah/Aplikasi%20TA/data/luasdaun/22_bawah.png","LINK")</f>
        <v/>
      </c>
      <c r="G28" t="n">
        <v>6</v>
      </c>
      <c r="H28" t="n">
        <v>61</v>
      </c>
      <c r="I28" t="n">
        <v>22</v>
      </c>
      <c r="J28" t="n">
        <v>1</v>
      </c>
      <c r="K28" t="n">
        <v>56</v>
      </c>
      <c r="L28" t="n">
        <v>23</v>
      </c>
      <c r="M28" t="n">
        <v>122</v>
      </c>
      <c r="N28" t="n">
        <v>136</v>
      </c>
      <c r="O28" t="n">
        <v>130</v>
      </c>
      <c r="P28" t="n">
        <v>126</v>
      </c>
      <c r="Q28" t="n">
        <v>139</v>
      </c>
      <c r="R28" t="n">
        <v>131</v>
      </c>
      <c r="S28" t="n">
        <v>131</v>
      </c>
      <c r="T28" t="n">
        <v>141</v>
      </c>
      <c r="U28" t="n">
        <v>128</v>
      </c>
      <c r="V28" t="n">
        <v>3</v>
      </c>
      <c r="W28" t="n">
        <v>60</v>
      </c>
      <c r="X28" t="n">
        <v>22</v>
      </c>
      <c r="Y28" t="n">
        <v>63</v>
      </c>
      <c r="Z28" t="n">
        <v>100</v>
      </c>
      <c r="AA28" t="n">
        <v>84</v>
      </c>
      <c r="AB28" t="n">
        <v>126</v>
      </c>
      <c r="AC28" t="n">
        <v>137</v>
      </c>
      <c r="AD28" t="n">
        <v>129</v>
      </c>
      <c r="AE28" t="n">
        <v>126</v>
      </c>
      <c r="AF28" t="n">
        <v>137</v>
      </c>
      <c r="AG28" t="n">
        <v>129</v>
      </c>
      <c r="AH28" t="n">
        <v>129</v>
      </c>
      <c r="AI28" t="n">
        <v>139</v>
      </c>
      <c r="AJ28" t="n">
        <v>127</v>
      </c>
      <c r="AK28">
        <f>HYPERLINK("file:///home/hermansyah/Aplikasi%20TA/data/rgbdaun/22.png","LINK")</f>
        <v/>
      </c>
      <c r="AL28" t="n">
        <v>7</v>
      </c>
      <c r="AM28" t="n">
        <v>7</v>
      </c>
      <c r="AN28">
        <f>HYPERLINK("file:///home/hermansyah/Aplikasi%20TA/data/kelilingdaun/22_atas.png","LINK")</f>
        <v/>
      </c>
      <c r="AO28">
        <f>HYPERLINK("file:///home/hermansyah/Aplikasi%20TA/data/kelilingdaun/22_bawah.png","LINK")</f>
        <v/>
      </c>
      <c r="AP28" t="n">
        <v>0.9999400649092812</v>
      </c>
      <c r="AQ28" t="n">
        <v>0.9299413809068471</v>
      </c>
      <c r="AR28" t="n">
        <v>2.957577952200849e-07</v>
      </c>
      <c r="AS28" t="n">
        <v>1</v>
      </c>
      <c r="AT28" t="n">
        <v>1</v>
      </c>
      <c r="AU28" t="n">
        <v>1</v>
      </c>
    </row>
    <row r="29" spans="1:47">
      <c r="A29" t="n">
        <v>23</v>
      </c>
      <c r="B29" t="s">
        <v>52</v>
      </c>
      <c r="C29" t="n">
        <v>0.7000000000000001</v>
      </c>
      <c r="D29" t="n">
        <v>0.8</v>
      </c>
      <c r="E29">
        <f>HYPERLINK("file:///home/hermansyah/Aplikasi%20TA/data/luasdaun/23_atas.png","LINK")</f>
        <v/>
      </c>
      <c r="F29">
        <f>HYPERLINK("file:///home/hermansyah/Aplikasi%20TA/data/luasdaun/23_bawah.png","LINK")</f>
        <v/>
      </c>
      <c r="G29" t="n">
        <v>5</v>
      </c>
      <c r="H29" t="n">
        <v>72</v>
      </c>
      <c r="I29" t="n">
        <v>45</v>
      </c>
      <c r="J29" t="n">
        <v>41</v>
      </c>
      <c r="K29" t="n">
        <v>86</v>
      </c>
      <c r="L29" t="n">
        <v>70</v>
      </c>
      <c r="M29" t="n">
        <v>124</v>
      </c>
      <c r="N29" t="n">
        <v>136</v>
      </c>
      <c r="O29" t="n">
        <v>130</v>
      </c>
      <c r="P29" t="n">
        <v>128</v>
      </c>
      <c r="Q29" t="n">
        <v>139</v>
      </c>
      <c r="R29" t="n">
        <v>131</v>
      </c>
      <c r="S29" t="n">
        <v>131</v>
      </c>
      <c r="T29" t="n">
        <v>140</v>
      </c>
      <c r="U29" t="n">
        <v>130</v>
      </c>
      <c r="V29" t="n">
        <v>7</v>
      </c>
      <c r="W29" t="n">
        <v>66</v>
      </c>
      <c r="X29" t="n">
        <v>38</v>
      </c>
      <c r="Y29" t="n">
        <v>0</v>
      </c>
      <c r="Z29" t="n">
        <v>66</v>
      </c>
      <c r="AA29" t="n">
        <v>39</v>
      </c>
      <c r="AB29" t="n">
        <v>124</v>
      </c>
      <c r="AC29" t="n">
        <v>136</v>
      </c>
      <c r="AD29" t="n">
        <v>130</v>
      </c>
      <c r="AE29" t="n">
        <v>126</v>
      </c>
      <c r="AF29" t="n">
        <v>137</v>
      </c>
      <c r="AG29" t="n">
        <v>129</v>
      </c>
      <c r="AH29" t="n">
        <v>128</v>
      </c>
      <c r="AI29" t="n">
        <v>138</v>
      </c>
      <c r="AJ29" t="n">
        <v>126</v>
      </c>
      <c r="AK29">
        <f>HYPERLINK("file:///home/hermansyah/Aplikasi%20TA/data/rgbdaun/23.png","LINK")</f>
        <v/>
      </c>
      <c r="AL29" t="n">
        <v>8</v>
      </c>
      <c r="AM29" t="n">
        <v>6</v>
      </c>
      <c r="AN29">
        <f>HYPERLINK("file:///home/hermansyah/Aplikasi%20TA/data/kelilingdaun/23_atas.png","LINK")</f>
        <v/>
      </c>
      <c r="AO29">
        <f>HYPERLINK("file:///home/hermansyah/Aplikasi%20TA/data/kelilingdaun/23_bawah.png","LINK")</f>
        <v/>
      </c>
      <c r="AP29" t="n">
        <v>0.9999339835741226</v>
      </c>
      <c r="AQ29" t="n">
        <v>0.7018152917005273</v>
      </c>
      <c r="AR29" t="n">
        <v>3.08020209149609e-07</v>
      </c>
      <c r="AS29" t="n">
        <v>1</v>
      </c>
      <c r="AT29" t="n">
        <v>1</v>
      </c>
      <c r="AU29" t="n">
        <v>1</v>
      </c>
    </row>
    <row r="30" spans="1:47">
      <c r="A30" t="n">
        <v>24</v>
      </c>
      <c r="B30" t="s">
        <v>53</v>
      </c>
      <c r="C30" t="n">
        <v>0.7000000000000001</v>
      </c>
      <c r="D30" t="n">
        <v>0.8</v>
      </c>
      <c r="E30">
        <f>HYPERLINK("file:///home/hermansyah/Aplikasi%20TA/data/luasdaun/24_atas.png","LINK")</f>
        <v/>
      </c>
      <c r="F30">
        <f>HYPERLINK("file:///home/hermansyah/Aplikasi%20TA/data/luasdaun/24_bawah.png","LINK")</f>
        <v/>
      </c>
      <c r="G30" t="n">
        <v>0</v>
      </c>
      <c r="H30" t="n">
        <v>69</v>
      </c>
      <c r="I30" t="n">
        <v>36</v>
      </c>
      <c r="J30" t="n">
        <v>43</v>
      </c>
      <c r="K30" t="n">
        <v>86</v>
      </c>
      <c r="L30" t="n">
        <v>71</v>
      </c>
      <c r="M30" t="n">
        <v>121</v>
      </c>
      <c r="N30" t="n">
        <v>135</v>
      </c>
      <c r="O30" t="n">
        <v>129</v>
      </c>
      <c r="P30" t="n">
        <v>126</v>
      </c>
      <c r="Q30" t="n">
        <v>139</v>
      </c>
      <c r="R30" t="n">
        <v>131</v>
      </c>
      <c r="S30" t="n">
        <v>128</v>
      </c>
      <c r="T30" t="n">
        <v>140</v>
      </c>
      <c r="U30" t="n">
        <v>128</v>
      </c>
      <c r="V30" t="n">
        <v>2</v>
      </c>
      <c r="W30" t="n">
        <v>65</v>
      </c>
      <c r="X30" t="n">
        <v>33</v>
      </c>
      <c r="Y30" t="n">
        <v>1</v>
      </c>
      <c r="Z30" t="n">
        <v>67</v>
      </c>
      <c r="AA30" t="n">
        <v>42</v>
      </c>
      <c r="AB30" t="n">
        <v>123</v>
      </c>
      <c r="AC30" t="n">
        <v>135</v>
      </c>
      <c r="AD30" t="n">
        <v>129</v>
      </c>
      <c r="AE30" t="n">
        <v>126</v>
      </c>
      <c r="AF30" t="n">
        <v>137</v>
      </c>
      <c r="AG30" t="n">
        <v>129</v>
      </c>
      <c r="AH30" t="n">
        <v>129</v>
      </c>
      <c r="AI30" t="n">
        <v>138</v>
      </c>
      <c r="AJ30" t="n">
        <v>128</v>
      </c>
      <c r="AK30">
        <f>HYPERLINK("file:///home/hermansyah/Aplikasi%20TA/data/rgbdaun/24.png","LINK")</f>
        <v/>
      </c>
      <c r="AL30" t="n">
        <v>8</v>
      </c>
      <c r="AM30" t="n">
        <v>6</v>
      </c>
      <c r="AN30">
        <f>HYPERLINK("file:///home/hermansyah/Aplikasi%20TA/data/kelilingdaun/24_atas.png","LINK")</f>
        <v/>
      </c>
      <c r="AO30">
        <f>HYPERLINK("file:///home/hermansyah/Aplikasi%20TA/data/kelilingdaun/24_bawah.png","LINK")</f>
        <v/>
      </c>
      <c r="AP30" t="n">
        <v>0.9999339835741226</v>
      </c>
      <c r="AQ30" t="n">
        <v>0.7018152917005273</v>
      </c>
      <c r="AR30" t="n">
        <v>2.967254000061653e-07</v>
      </c>
      <c r="AS30" t="n">
        <v>1</v>
      </c>
      <c r="AT30" t="n">
        <v>1</v>
      </c>
      <c r="AU30" t="n">
        <v>1</v>
      </c>
    </row>
    <row r="31" spans="1:47">
      <c r="A31" t="n">
        <v>25</v>
      </c>
      <c r="B31" t="s">
        <v>54</v>
      </c>
      <c r="C31" t="n">
        <v>0.8</v>
      </c>
      <c r="D31" t="n">
        <v>1.2</v>
      </c>
      <c r="E31">
        <f>HYPERLINK("file:///home/hermansyah/Aplikasi%20TA/data/luasdaun/25_atas.png","LINK")</f>
        <v/>
      </c>
      <c r="F31">
        <f>HYPERLINK("file:///home/hermansyah/Aplikasi%20TA/data/luasdaun/25_bawah.png","LINK")</f>
        <v/>
      </c>
      <c r="G31" t="n">
        <v>0</v>
      </c>
      <c r="H31" t="n">
        <v>54</v>
      </c>
      <c r="I31" t="n">
        <v>21</v>
      </c>
      <c r="J31" t="n">
        <v>1</v>
      </c>
      <c r="K31" t="n">
        <v>55</v>
      </c>
      <c r="L31" t="n">
        <v>26</v>
      </c>
      <c r="M31" t="n">
        <v>122</v>
      </c>
      <c r="N31" t="n">
        <v>136</v>
      </c>
      <c r="O31" t="n">
        <v>130</v>
      </c>
      <c r="P31" t="n">
        <v>126</v>
      </c>
      <c r="Q31" t="n">
        <v>139</v>
      </c>
      <c r="R31" t="n">
        <v>131</v>
      </c>
      <c r="S31" t="n">
        <v>128</v>
      </c>
      <c r="T31" t="n">
        <v>140</v>
      </c>
      <c r="U31" t="n">
        <v>128</v>
      </c>
      <c r="V31" t="n">
        <v>0</v>
      </c>
      <c r="W31" t="n">
        <v>63</v>
      </c>
      <c r="X31" t="n">
        <v>31</v>
      </c>
      <c r="Y31" t="n">
        <v>0</v>
      </c>
      <c r="Z31" t="n">
        <v>46</v>
      </c>
      <c r="AA31" t="n">
        <v>19</v>
      </c>
      <c r="AB31" t="n">
        <v>125</v>
      </c>
      <c r="AC31" t="n">
        <v>137</v>
      </c>
      <c r="AD31" t="n">
        <v>131</v>
      </c>
      <c r="AE31" t="n">
        <v>124</v>
      </c>
      <c r="AF31" t="n">
        <v>137</v>
      </c>
      <c r="AG31" t="n">
        <v>129</v>
      </c>
      <c r="AH31" t="n">
        <v>129</v>
      </c>
      <c r="AI31" t="n">
        <v>139</v>
      </c>
      <c r="AJ31" t="n">
        <v>127</v>
      </c>
      <c r="AK31">
        <f>HYPERLINK("file:///home/hermansyah/Aplikasi%20TA/data/rgbdaun/25.png","LINK")</f>
        <v/>
      </c>
      <c r="AL31" t="n">
        <v>7</v>
      </c>
      <c r="AM31" t="n">
        <v>9</v>
      </c>
      <c r="AN31">
        <f>HYPERLINK("file:///home/hermansyah/Aplikasi%20TA/data/kelilingdaun/25_atas.png","LINK")</f>
        <v/>
      </c>
      <c r="AO31">
        <f>HYPERLINK("file:///home/hermansyah/Aplikasi%20TA/data/kelilingdaun/25_bawah.png","LINK")</f>
        <v/>
      </c>
      <c r="AP31" t="n">
        <v>0.9985730485789228</v>
      </c>
      <c r="AQ31" t="n">
        <v>0.9369515379205149</v>
      </c>
      <c r="AR31" t="n">
        <v>2.191232872616755e-06</v>
      </c>
      <c r="AS31" t="n">
        <v>1</v>
      </c>
      <c r="AT31" t="n">
        <v>1</v>
      </c>
      <c r="AU31" t="n">
        <v>1</v>
      </c>
    </row>
    <row r="32" spans="1:47">
      <c r="A32" t="n">
        <v>26</v>
      </c>
      <c r="B32" t="s">
        <v>55</v>
      </c>
      <c r="C32" t="n">
        <v>0.8</v>
      </c>
      <c r="D32" t="n">
        <v>1.2</v>
      </c>
      <c r="E32">
        <f>HYPERLINK("file:///home/hermansyah/Aplikasi%20TA/data/luasdaun/26_atas.png","LINK")</f>
        <v/>
      </c>
      <c r="F32">
        <f>HYPERLINK("file:///home/hermansyah/Aplikasi%20TA/data/luasdaun/26_bawah.png","LINK")</f>
        <v/>
      </c>
      <c r="G32" t="n">
        <v>0</v>
      </c>
      <c r="H32" t="n">
        <v>62</v>
      </c>
      <c r="I32" t="n">
        <v>26</v>
      </c>
      <c r="J32" t="n">
        <v>0</v>
      </c>
      <c r="K32" t="n">
        <v>68</v>
      </c>
      <c r="L32" t="n">
        <v>38</v>
      </c>
      <c r="M32" t="n">
        <v>121</v>
      </c>
      <c r="N32" t="n">
        <v>136</v>
      </c>
      <c r="O32" t="n">
        <v>128</v>
      </c>
      <c r="P32" t="n">
        <v>126</v>
      </c>
      <c r="Q32" t="n">
        <v>140</v>
      </c>
      <c r="R32" t="n">
        <v>129</v>
      </c>
      <c r="S32" t="n">
        <v>129</v>
      </c>
      <c r="T32" t="n">
        <v>141</v>
      </c>
      <c r="U32" t="n">
        <v>129</v>
      </c>
      <c r="V32" t="n">
        <v>0</v>
      </c>
      <c r="W32" t="n">
        <v>62</v>
      </c>
      <c r="X32" t="n">
        <v>23</v>
      </c>
      <c r="Y32" t="n">
        <v>0</v>
      </c>
      <c r="Z32" t="n">
        <v>56</v>
      </c>
      <c r="AA32" t="n">
        <v>21</v>
      </c>
      <c r="AB32" t="n">
        <v>124</v>
      </c>
      <c r="AC32" t="n">
        <v>136</v>
      </c>
      <c r="AD32" t="n">
        <v>130</v>
      </c>
      <c r="AE32" t="n">
        <v>126</v>
      </c>
      <c r="AF32" t="n">
        <v>137</v>
      </c>
      <c r="AG32" t="n">
        <v>127</v>
      </c>
      <c r="AH32" t="n">
        <v>126</v>
      </c>
      <c r="AI32" t="n">
        <v>139</v>
      </c>
      <c r="AJ32" t="n">
        <v>125</v>
      </c>
      <c r="AK32">
        <f>HYPERLINK("file:///home/hermansyah/Aplikasi%20TA/data/rgbdaun/26.png","LINK")</f>
        <v/>
      </c>
      <c r="AL32" t="n">
        <v>8</v>
      </c>
      <c r="AM32" t="n">
        <v>8</v>
      </c>
      <c r="AN32">
        <f>HYPERLINK("file:///home/hermansyah/Aplikasi%20TA/data/kelilingdaun/26_atas.png","LINK")</f>
        <v/>
      </c>
      <c r="AO32">
        <f>HYPERLINK("file:///home/hermansyah/Aplikasi%20TA/data/kelilingdaun/26_bawah.png","LINK")</f>
        <v/>
      </c>
      <c r="AP32" t="n">
        <v>0.9985730485789228</v>
      </c>
      <c r="AQ32" t="n">
        <v>0.9288878534023572</v>
      </c>
      <c r="AR32" t="n">
        <v>2.172849833671807e-06</v>
      </c>
      <c r="AS32" t="n">
        <v>1</v>
      </c>
      <c r="AT32" t="n">
        <v>1</v>
      </c>
      <c r="AU32" t="n">
        <v>0</v>
      </c>
    </row>
    <row r="33" spans="1:47">
      <c r="A33" t="n">
        <v>27</v>
      </c>
      <c r="B33" t="s">
        <v>56</v>
      </c>
      <c r="C33" t="n">
        <v>1.8</v>
      </c>
      <c r="D33" t="n">
        <v>3</v>
      </c>
      <c r="E33">
        <f>HYPERLINK("file:///home/hermansyah/Aplikasi%20TA/data/luasdaun/27_atas.png","LINK")</f>
        <v/>
      </c>
      <c r="F33">
        <f>HYPERLINK("file:///home/hermansyah/Aplikasi%20TA/data/luasdaun/27_bawah.png","LINK")</f>
        <v/>
      </c>
      <c r="G33" t="n">
        <v>0</v>
      </c>
      <c r="H33" t="n">
        <v>62</v>
      </c>
      <c r="I33" t="n">
        <v>22</v>
      </c>
      <c r="J33" t="n">
        <v>0</v>
      </c>
      <c r="K33" t="n">
        <v>59</v>
      </c>
      <c r="L33" t="n">
        <v>25</v>
      </c>
      <c r="M33" t="n">
        <v>80</v>
      </c>
      <c r="N33" t="n">
        <v>108</v>
      </c>
      <c r="O33" t="n">
        <v>95</v>
      </c>
      <c r="P33" t="n">
        <v>120</v>
      </c>
      <c r="Q33" t="n">
        <v>135</v>
      </c>
      <c r="R33" t="n">
        <v>127</v>
      </c>
      <c r="S33" t="n">
        <v>124</v>
      </c>
      <c r="T33" t="n">
        <v>137</v>
      </c>
      <c r="U33" t="n">
        <v>123</v>
      </c>
      <c r="V33" t="n">
        <v>0</v>
      </c>
      <c r="W33" t="n">
        <v>66</v>
      </c>
      <c r="X33" t="n">
        <v>25</v>
      </c>
      <c r="Y33" t="n">
        <v>0</v>
      </c>
      <c r="Z33" t="n">
        <v>60</v>
      </c>
      <c r="AA33" t="n">
        <v>26</v>
      </c>
      <c r="AB33" t="n">
        <v>0</v>
      </c>
      <c r="AC33" t="n">
        <v>64</v>
      </c>
      <c r="AD33" t="n">
        <v>35</v>
      </c>
      <c r="AE33" t="n">
        <v>121</v>
      </c>
      <c r="AF33" t="n">
        <v>134</v>
      </c>
      <c r="AG33" t="n">
        <v>126</v>
      </c>
      <c r="AH33" t="n">
        <v>123</v>
      </c>
      <c r="AI33" t="n">
        <v>136</v>
      </c>
      <c r="AJ33" t="n">
        <v>122</v>
      </c>
      <c r="AK33">
        <f>HYPERLINK("file:///home/hermansyah/Aplikasi%20TA/data/rgbdaun/27.png","LINK")</f>
        <v/>
      </c>
      <c r="AL33" t="n">
        <v>12</v>
      </c>
      <c r="AM33" t="n">
        <v>13</v>
      </c>
      <c r="AN33">
        <f>HYPERLINK("file:///home/hermansyah/Aplikasi%20TA/data/kelilingdaun/27_atas.png","LINK")</f>
        <v/>
      </c>
      <c r="AO33">
        <f>HYPERLINK("file:///home/hermansyah/Aplikasi%20TA/data/kelilingdaun/27_bawah.png","LINK")</f>
        <v/>
      </c>
      <c r="AP33" t="n">
        <v>0.9903552483483883</v>
      </c>
      <c r="AQ33" t="n">
        <v>0.938439446456053</v>
      </c>
      <c r="AR33" t="n">
        <v>3.416239173473399e-07</v>
      </c>
      <c r="AS33" t="n">
        <v>2</v>
      </c>
      <c r="AT33" t="n">
        <v>2</v>
      </c>
      <c r="AU33" t="n">
        <v>5</v>
      </c>
    </row>
    <row r="34" spans="1:47">
      <c r="A34" t="n">
        <v>28</v>
      </c>
      <c r="B34" t="s">
        <v>57</v>
      </c>
      <c r="C34" t="n">
        <v>2.4</v>
      </c>
      <c r="D34" t="n">
        <v>2</v>
      </c>
      <c r="E34">
        <f>HYPERLINK("file:///home/hermansyah/Aplikasi%20TA/data/luasdaun/28_atas.png","LINK")</f>
        <v/>
      </c>
      <c r="F34">
        <f>HYPERLINK("file:///home/hermansyah/Aplikasi%20TA/data/luasdaun/28_bawah.png","LINK")</f>
        <v/>
      </c>
      <c r="G34" t="n">
        <v>0</v>
      </c>
      <c r="H34" t="n">
        <v>61</v>
      </c>
      <c r="I34" t="n">
        <v>25</v>
      </c>
      <c r="J34" t="n">
        <v>0</v>
      </c>
      <c r="K34" t="n">
        <v>59</v>
      </c>
      <c r="L34" t="n">
        <v>29</v>
      </c>
      <c r="M34" t="n">
        <v>0</v>
      </c>
      <c r="N34" t="n">
        <v>62</v>
      </c>
      <c r="O34" t="n">
        <v>36</v>
      </c>
      <c r="P34" t="n">
        <v>123</v>
      </c>
      <c r="Q34" t="n">
        <v>138</v>
      </c>
      <c r="R34" t="n">
        <v>130</v>
      </c>
      <c r="S34" t="n">
        <v>127</v>
      </c>
      <c r="T34" t="n">
        <v>138</v>
      </c>
      <c r="U34" t="n">
        <v>128</v>
      </c>
      <c r="V34" t="n">
        <v>0</v>
      </c>
      <c r="W34" t="n">
        <v>62</v>
      </c>
      <c r="X34" t="n">
        <v>26</v>
      </c>
      <c r="Y34" t="n">
        <v>0</v>
      </c>
      <c r="Z34" t="n">
        <v>55</v>
      </c>
      <c r="AA34" t="n">
        <v>24</v>
      </c>
      <c r="AB34" t="n">
        <v>0</v>
      </c>
      <c r="AC34" t="n">
        <v>69</v>
      </c>
      <c r="AD34" t="n">
        <v>42</v>
      </c>
      <c r="AE34" t="n">
        <v>122</v>
      </c>
      <c r="AF34" t="n">
        <v>135</v>
      </c>
      <c r="AG34" t="n">
        <v>127</v>
      </c>
      <c r="AH34" t="n">
        <v>125</v>
      </c>
      <c r="AI34" t="n">
        <v>137</v>
      </c>
      <c r="AJ34" t="n">
        <v>125</v>
      </c>
      <c r="AK34">
        <f>HYPERLINK("file:///home/hermansyah/Aplikasi%20TA/data/rgbdaun/28.png","LINK")</f>
        <v/>
      </c>
      <c r="AL34" t="n">
        <v>11</v>
      </c>
      <c r="AM34" t="n">
        <v>12</v>
      </c>
      <c r="AN34">
        <f>HYPERLINK("file:///home/hermansyah/Aplikasi%20TA/data/kelilingdaun/28_atas.png","LINK")</f>
        <v/>
      </c>
      <c r="AO34">
        <f>HYPERLINK("file:///home/hermansyah/Aplikasi%20TA/data/kelilingdaun/28_bawah.png","LINK")</f>
        <v/>
      </c>
      <c r="AP34" t="n">
        <v>0.9903732162309187</v>
      </c>
      <c r="AQ34" t="n">
        <v>0.9383950549320534</v>
      </c>
      <c r="AR34" t="n">
        <v>0.03616030349209483</v>
      </c>
      <c r="AS34" t="n">
        <v>2</v>
      </c>
      <c r="AT34" t="n">
        <v>2</v>
      </c>
      <c r="AU34" t="n">
        <v>2</v>
      </c>
    </row>
    <row r="35" spans="1:47">
      <c r="A35" t="n">
        <v>29</v>
      </c>
      <c r="B35" t="s">
        <v>58</v>
      </c>
      <c r="C35" t="n">
        <v>1.4</v>
      </c>
      <c r="D35" t="n">
        <v>2.4</v>
      </c>
      <c r="E35">
        <f>HYPERLINK("file:///home/hermansyah/Aplikasi%20TA/data/luasdaun/29_atas.png","LINK")</f>
        <v/>
      </c>
      <c r="F35">
        <f>HYPERLINK("file:///home/hermansyah/Aplikasi%20TA/data/luasdaun/29_bawah.png","LINK")</f>
        <v/>
      </c>
      <c r="G35" t="n">
        <v>0</v>
      </c>
      <c r="H35" t="n">
        <v>58</v>
      </c>
      <c r="I35" t="n">
        <v>24</v>
      </c>
      <c r="J35" t="n">
        <v>0</v>
      </c>
      <c r="K35" t="n">
        <v>53</v>
      </c>
      <c r="L35" t="n">
        <v>24</v>
      </c>
      <c r="M35" t="n">
        <v>98</v>
      </c>
      <c r="N35" t="n">
        <v>121</v>
      </c>
      <c r="O35" t="n">
        <v>113</v>
      </c>
      <c r="P35" t="n">
        <v>123</v>
      </c>
      <c r="Q35" t="n">
        <v>138</v>
      </c>
      <c r="R35" t="n">
        <v>130</v>
      </c>
      <c r="S35" t="n">
        <v>124</v>
      </c>
      <c r="T35" t="n">
        <v>138</v>
      </c>
      <c r="U35" t="n">
        <v>127</v>
      </c>
      <c r="V35" t="n">
        <v>0</v>
      </c>
      <c r="W35" t="n">
        <v>59</v>
      </c>
      <c r="X35" t="n">
        <v>28</v>
      </c>
      <c r="Y35" t="n">
        <v>0</v>
      </c>
      <c r="Z35" t="n">
        <v>52</v>
      </c>
      <c r="AA35" t="n">
        <v>23</v>
      </c>
      <c r="AB35" t="n">
        <v>0</v>
      </c>
      <c r="AC35" t="n">
        <v>60</v>
      </c>
      <c r="AD35" t="n">
        <v>34</v>
      </c>
      <c r="AE35" t="n">
        <v>123</v>
      </c>
      <c r="AF35" t="n">
        <v>135</v>
      </c>
      <c r="AG35" t="n">
        <v>129</v>
      </c>
      <c r="AH35" t="n">
        <v>126</v>
      </c>
      <c r="AI35" t="n">
        <v>138</v>
      </c>
      <c r="AJ35" t="n">
        <v>126</v>
      </c>
      <c r="AK35">
        <f>HYPERLINK("file:///home/hermansyah/Aplikasi%20TA/data/rgbdaun/29.png","LINK")</f>
        <v/>
      </c>
      <c r="AL35" t="n">
        <v>10</v>
      </c>
      <c r="AM35" t="n">
        <v>12</v>
      </c>
      <c r="AN35">
        <f>HYPERLINK("file:///home/hermansyah/Aplikasi%20TA/data/kelilingdaun/29_atas.png","LINK")</f>
        <v/>
      </c>
      <c r="AO35">
        <f>HYPERLINK("file:///home/hermansyah/Aplikasi%20TA/data/kelilingdaun/29_bawah.png","LINK")</f>
        <v/>
      </c>
      <c r="AP35" t="n">
        <v>0.9903552562131194</v>
      </c>
      <c r="AQ35" t="n">
        <v>0.9386292677685939</v>
      </c>
      <c r="AR35" t="n">
        <v>8.861423499209136e-07</v>
      </c>
      <c r="AS35" t="n">
        <v>2</v>
      </c>
      <c r="AT35" t="n">
        <v>2</v>
      </c>
      <c r="AU35" t="n">
        <v>2</v>
      </c>
    </row>
    <row r="36" spans="1:47">
      <c r="A36" t="n">
        <v>30</v>
      </c>
      <c r="B36" t="s">
        <v>59</v>
      </c>
      <c r="C36" t="n">
        <v>1.8</v>
      </c>
      <c r="D36" t="n">
        <v>1.8</v>
      </c>
      <c r="E36">
        <f>HYPERLINK("file:///home/hermansyah/Aplikasi%20TA/data/luasdaun/30_atas.png","LINK")</f>
        <v/>
      </c>
      <c r="F36">
        <f>HYPERLINK("file:///home/hermansyah/Aplikasi%20TA/data/luasdaun/30_bawah.png","LINK")</f>
        <v/>
      </c>
      <c r="G36" t="n">
        <v>0</v>
      </c>
      <c r="H36" t="n">
        <v>53</v>
      </c>
      <c r="I36" t="n">
        <v>14</v>
      </c>
      <c r="J36" t="n">
        <v>0</v>
      </c>
      <c r="K36" t="n">
        <v>49</v>
      </c>
      <c r="L36" t="n">
        <v>17</v>
      </c>
      <c r="M36" t="n">
        <v>81</v>
      </c>
      <c r="N36" t="n">
        <v>105</v>
      </c>
      <c r="O36" t="n">
        <v>95</v>
      </c>
      <c r="P36" t="n">
        <v>119</v>
      </c>
      <c r="Q36" t="n">
        <v>135</v>
      </c>
      <c r="R36" t="n">
        <v>124</v>
      </c>
      <c r="S36" t="n">
        <v>125</v>
      </c>
      <c r="T36" t="n">
        <v>137</v>
      </c>
      <c r="U36" t="n">
        <v>125</v>
      </c>
      <c r="V36" t="n">
        <v>0</v>
      </c>
      <c r="W36" t="n">
        <v>58</v>
      </c>
      <c r="X36" t="n">
        <v>20</v>
      </c>
      <c r="Y36" t="n">
        <v>0</v>
      </c>
      <c r="Z36" t="n">
        <v>51</v>
      </c>
      <c r="AA36" t="n">
        <v>21</v>
      </c>
      <c r="AB36" t="n">
        <v>2</v>
      </c>
      <c r="AC36" t="n">
        <v>56</v>
      </c>
      <c r="AD36" t="n">
        <v>26</v>
      </c>
      <c r="AE36" t="n">
        <v>120</v>
      </c>
      <c r="AF36" t="n">
        <v>133</v>
      </c>
      <c r="AG36" t="n">
        <v>125</v>
      </c>
      <c r="AH36" t="n">
        <v>124</v>
      </c>
      <c r="AI36" t="n">
        <v>136</v>
      </c>
      <c r="AJ36" t="n">
        <v>124</v>
      </c>
      <c r="AK36">
        <f>HYPERLINK("file:///home/hermansyah/Aplikasi%20TA/data/rgbdaun/30.png","LINK")</f>
        <v/>
      </c>
      <c r="AL36" t="n">
        <v>13</v>
      </c>
      <c r="AM36" t="n">
        <v>10</v>
      </c>
      <c r="AN36">
        <f>HYPERLINK("file:///home/hermansyah/Aplikasi%20TA/data/kelilingdaun/30_atas.png","LINK")</f>
        <v/>
      </c>
      <c r="AO36">
        <f>HYPERLINK("file:///home/hermansyah/Aplikasi%20TA/data/kelilingdaun/30_bawah.png","LINK")</f>
        <v/>
      </c>
      <c r="AP36" t="n">
        <v>0.9904447753601047</v>
      </c>
      <c r="AQ36" t="n">
        <v>0.7131546550068374</v>
      </c>
      <c r="AR36" t="n">
        <v>5.646852933280811e-07</v>
      </c>
      <c r="AS36" t="n">
        <v>2</v>
      </c>
      <c r="AT36" t="n">
        <v>2</v>
      </c>
      <c r="AU36" t="n">
        <v>2</v>
      </c>
    </row>
    <row r="37" spans="1:47">
      <c r="A37" t="n">
        <v>31</v>
      </c>
      <c r="B37" t="s">
        <v>60</v>
      </c>
      <c r="C37" t="n">
        <v>2.2</v>
      </c>
      <c r="D37" t="n">
        <v>2.2</v>
      </c>
      <c r="E37">
        <f>HYPERLINK("file:///home/hermansyah/Aplikasi%20TA/data/luasdaun/31_atas.png","LINK")</f>
        <v/>
      </c>
      <c r="F37">
        <f>HYPERLINK("file:///home/hermansyah/Aplikasi%20TA/data/luasdaun/31_bawah.png","LINK")</f>
        <v/>
      </c>
      <c r="G37" t="n">
        <v>0</v>
      </c>
      <c r="H37" t="n">
        <v>51</v>
      </c>
      <c r="I37" t="n">
        <v>16</v>
      </c>
      <c r="J37" t="n">
        <v>0</v>
      </c>
      <c r="K37" t="n">
        <v>54</v>
      </c>
      <c r="L37" t="n">
        <v>25</v>
      </c>
      <c r="M37" t="n">
        <v>0</v>
      </c>
      <c r="N37" t="n">
        <v>68</v>
      </c>
      <c r="O37" t="n">
        <v>43</v>
      </c>
      <c r="P37" t="n">
        <v>124</v>
      </c>
      <c r="Q37" t="n">
        <v>137</v>
      </c>
      <c r="R37" t="n">
        <v>129</v>
      </c>
      <c r="S37" t="n">
        <v>127</v>
      </c>
      <c r="T37" t="n">
        <v>138</v>
      </c>
      <c r="U37" t="n">
        <v>128</v>
      </c>
      <c r="V37" t="n">
        <v>0</v>
      </c>
      <c r="W37" t="n">
        <v>49</v>
      </c>
      <c r="X37" t="n">
        <v>17</v>
      </c>
      <c r="Y37" t="n">
        <v>0</v>
      </c>
      <c r="Z37" t="n">
        <v>50</v>
      </c>
      <c r="AA37" t="n">
        <v>22</v>
      </c>
      <c r="AB37" t="n">
        <v>2</v>
      </c>
      <c r="AC37" t="n">
        <v>75</v>
      </c>
      <c r="AD37" t="n">
        <v>49</v>
      </c>
      <c r="AE37" t="n">
        <v>122</v>
      </c>
      <c r="AF37" t="n">
        <v>135</v>
      </c>
      <c r="AG37" t="n">
        <v>127</v>
      </c>
      <c r="AH37" t="n">
        <v>124</v>
      </c>
      <c r="AI37" t="n">
        <v>136</v>
      </c>
      <c r="AJ37" t="n">
        <v>124</v>
      </c>
      <c r="AK37">
        <f>HYPERLINK("file:///home/hermansyah/Aplikasi%20TA/data/rgbdaun/31.png","LINK")</f>
        <v/>
      </c>
      <c r="AL37" t="n">
        <v>12</v>
      </c>
      <c r="AM37" t="n">
        <v>11</v>
      </c>
      <c r="AN37">
        <f>HYPERLINK("file:///home/hermansyah/Aplikasi%20TA/data/kelilingdaun/31_atas.png","LINK")</f>
        <v/>
      </c>
      <c r="AO37">
        <f>HYPERLINK("file:///home/hermansyah/Aplikasi%20TA/data/kelilingdaun/31_bawah.png","LINK")</f>
        <v/>
      </c>
      <c r="AP37" t="n">
        <v>0.9903562493315292</v>
      </c>
      <c r="AQ37" t="n">
        <v>0.7279016881025834</v>
      </c>
      <c r="AR37" t="n">
        <v>0.03661067828633383</v>
      </c>
      <c r="AS37" t="n">
        <v>2</v>
      </c>
      <c r="AT37" t="n">
        <v>2</v>
      </c>
      <c r="AU37" t="n">
        <v>2</v>
      </c>
    </row>
    <row r="38" spans="1:47">
      <c r="A38" t="n">
        <v>32</v>
      </c>
      <c r="B38" t="s">
        <v>61</v>
      </c>
      <c r="C38" t="n">
        <v>2.4</v>
      </c>
      <c r="D38" t="n">
        <v>2</v>
      </c>
      <c r="E38">
        <f>HYPERLINK("file:///home/hermansyah/Aplikasi%20TA/data/luasdaun/32_atas.png","LINK")</f>
        <v/>
      </c>
      <c r="F38">
        <f>HYPERLINK("file:///home/hermansyah/Aplikasi%20TA/data/luasdaun/32_bawah.png","LINK")</f>
        <v/>
      </c>
      <c r="G38" t="n">
        <v>0</v>
      </c>
      <c r="H38" t="n">
        <v>51</v>
      </c>
      <c r="I38" t="n">
        <v>18</v>
      </c>
      <c r="J38" t="n">
        <v>0</v>
      </c>
      <c r="K38" t="n">
        <v>46</v>
      </c>
      <c r="L38" t="n">
        <v>22</v>
      </c>
      <c r="M38" t="n">
        <v>0</v>
      </c>
      <c r="N38" t="n">
        <v>58</v>
      </c>
      <c r="O38" t="n">
        <v>30</v>
      </c>
      <c r="P38" t="n">
        <v>123</v>
      </c>
      <c r="Q38" t="n">
        <v>137</v>
      </c>
      <c r="R38" t="n">
        <v>131</v>
      </c>
      <c r="S38" t="n">
        <v>123</v>
      </c>
      <c r="T38" t="n">
        <v>137</v>
      </c>
      <c r="U38" t="n">
        <v>126</v>
      </c>
      <c r="V38" t="n">
        <v>0</v>
      </c>
      <c r="W38" t="n">
        <v>51</v>
      </c>
      <c r="X38" t="n">
        <v>18</v>
      </c>
      <c r="Y38" t="n">
        <v>0</v>
      </c>
      <c r="Z38" t="n">
        <v>43</v>
      </c>
      <c r="AA38" t="n">
        <v>20</v>
      </c>
      <c r="AB38" t="n">
        <v>20</v>
      </c>
      <c r="AC38" t="n">
        <v>79</v>
      </c>
      <c r="AD38" t="n">
        <v>58</v>
      </c>
      <c r="AE38" t="n">
        <v>122</v>
      </c>
      <c r="AF38" t="n">
        <v>134</v>
      </c>
      <c r="AG38" t="n">
        <v>128</v>
      </c>
      <c r="AH38" t="n">
        <v>123</v>
      </c>
      <c r="AI38" t="n">
        <v>137</v>
      </c>
      <c r="AJ38" t="n">
        <v>125</v>
      </c>
      <c r="AK38">
        <f>HYPERLINK("file:///home/hermansyah/Aplikasi%20TA/data/rgbdaun/32.png","LINK")</f>
        <v/>
      </c>
      <c r="AL38" t="n">
        <v>12</v>
      </c>
      <c r="AM38" t="n">
        <v>10</v>
      </c>
      <c r="AN38">
        <f>HYPERLINK("file:///home/hermansyah/Aplikasi%20TA/data/kelilingdaun/32_atas.png","LINK")</f>
        <v/>
      </c>
      <c r="AO38">
        <f>HYPERLINK("file:///home/hermansyah/Aplikasi%20TA/data/kelilingdaun/32_bawah.png","LINK")</f>
        <v/>
      </c>
      <c r="AP38" t="n">
        <v>0.9903732162309187</v>
      </c>
      <c r="AQ38" t="n">
        <v>0.7129277537640434</v>
      </c>
      <c r="AR38" t="n">
        <v>0.0377245683958105</v>
      </c>
      <c r="AS38" t="n">
        <v>2</v>
      </c>
      <c r="AT38" t="n">
        <v>2</v>
      </c>
      <c r="AU38" t="n">
        <v>2</v>
      </c>
    </row>
    <row r="39" spans="1:47">
      <c r="A39" t="n">
        <v>33</v>
      </c>
      <c r="B39" t="s">
        <v>62</v>
      </c>
      <c r="C39" t="n">
        <v>2.4</v>
      </c>
      <c r="D39" t="n">
        <v>2.3</v>
      </c>
      <c r="E39">
        <f>HYPERLINK("file:///home/hermansyah/Aplikasi%20TA/data/luasdaun/33_atas.png","LINK")</f>
        <v/>
      </c>
      <c r="F39">
        <f>HYPERLINK("file:///home/hermansyah/Aplikasi%20TA/data/luasdaun/33_bawah.png","LINK")</f>
        <v/>
      </c>
      <c r="G39" t="n">
        <v>0</v>
      </c>
      <c r="H39" t="n">
        <v>46</v>
      </c>
      <c r="I39" t="n">
        <v>14</v>
      </c>
      <c r="J39" t="n">
        <v>1</v>
      </c>
      <c r="K39" t="n">
        <v>49</v>
      </c>
      <c r="L39" t="n">
        <v>21</v>
      </c>
      <c r="M39" t="n">
        <v>0</v>
      </c>
      <c r="N39" t="n">
        <v>62</v>
      </c>
      <c r="O39" t="n">
        <v>33</v>
      </c>
      <c r="P39" t="n">
        <v>123</v>
      </c>
      <c r="Q39" t="n">
        <v>136</v>
      </c>
      <c r="R39" t="n">
        <v>128</v>
      </c>
      <c r="S39" t="n">
        <v>125</v>
      </c>
      <c r="T39" t="n">
        <v>136</v>
      </c>
      <c r="U39" t="n">
        <v>126</v>
      </c>
      <c r="V39" t="n">
        <v>0</v>
      </c>
      <c r="W39" t="n">
        <v>49</v>
      </c>
      <c r="X39" t="n">
        <v>17</v>
      </c>
      <c r="Y39" t="n">
        <v>0</v>
      </c>
      <c r="Z39" t="n">
        <v>47</v>
      </c>
      <c r="AA39" t="n">
        <v>21</v>
      </c>
      <c r="AB39" t="n">
        <v>0</v>
      </c>
      <c r="AC39" t="n">
        <v>64</v>
      </c>
      <c r="AD39" t="n">
        <v>35</v>
      </c>
      <c r="AE39" t="n">
        <v>122</v>
      </c>
      <c r="AF39" t="n">
        <v>134</v>
      </c>
      <c r="AG39" t="n">
        <v>128</v>
      </c>
      <c r="AH39" t="n">
        <v>124</v>
      </c>
      <c r="AI39" t="n">
        <v>136</v>
      </c>
      <c r="AJ39" t="n">
        <v>124</v>
      </c>
      <c r="AK39">
        <f>HYPERLINK("file:///home/hermansyah/Aplikasi%20TA/data/rgbdaun/33.png","LINK")</f>
        <v/>
      </c>
      <c r="AL39" t="n">
        <v>12</v>
      </c>
      <c r="AM39" t="n">
        <v>11</v>
      </c>
      <c r="AN39">
        <f>HYPERLINK("file:///home/hermansyah/Aplikasi%20TA/data/kelilingdaun/33_atas.png","LINK")</f>
        <v/>
      </c>
      <c r="AO39">
        <f>HYPERLINK("file:///home/hermansyah/Aplikasi%20TA/data/kelilingdaun/33_bawah.png","LINK")</f>
        <v/>
      </c>
      <c r="AP39" t="n">
        <v>0.9903556289177244</v>
      </c>
      <c r="AQ39" t="n">
        <v>0.7279016881025834</v>
      </c>
      <c r="AR39" t="n">
        <v>0.03640311874641551</v>
      </c>
      <c r="AS39" t="n">
        <v>2</v>
      </c>
      <c r="AT39" t="n">
        <v>2</v>
      </c>
      <c r="AU39" t="n">
        <v>5</v>
      </c>
    </row>
    <row r="40" spans="1:47">
      <c r="A40" t="n">
        <v>34</v>
      </c>
      <c r="B40" t="s">
        <v>63</v>
      </c>
      <c r="C40" t="n">
        <v>2.1</v>
      </c>
      <c r="D40" t="n">
        <v>1.4</v>
      </c>
      <c r="E40">
        <f>HYPERLINK("file:///home/hermansyah/Aplikasi%20TA/data/luasdaun/34_atas.png","LINK")</f>
        <v/>
      </c>
      <c r="F40">
        <f>HYPERLINK("file:///home/hermansyah/Aplikasi%20TA/data/luasdaun/34_bawah.png","LINK")</f>
        <v/>
      </c>
      <c r="G40" t="n">
        <v>0</v>
      </c>
      <c r="H40" t="n">
        <v>60</v>
      </c>
      <c r="I40" t="n">
        <v>25</v>
      </c>
      <c r="J40" t="n">
        <v>0</v>
      </c>
      <c r="K40" t="n">
        <v>53</v>
      </c>
      <c r="L40" t="n">
        <v>24</v>
      </c>
      <c r="M40" t="n">
        <v>0</v>
      </c>
      <c r="N40" t="n">
        <v>69</v>
      </c>
      <c r="O40" t="n">
        <v>46</v>
      </c>
      <c r="P40" t="n">
        <v>122</v>
      </c>
      <c r="Q40" t="n">
        <v>136</v>
      </c>
      <c r="R40" t="n">
        <v>130</v>
      </c>
      <c r="S40" t="n">
        <v>125</v>
      </c>
      <c r="T40" t="n">
        <v>139</v>
      </c>
      <c r="U40" t="n">
        <v>128</v>
      </c>
      <c r="V40" t="n">
        <v>0</v>
      </c>
      <c r="W40" t="n">
        <v>62</v>
      </c>
      <c r="X40" t="n">
        <v>30</v>
      </c>
      <c r="Y40" t="n">
        <v>0</v>
      </c>
      <c r="Z40" t="n">
        <v>55</v>
      </c>
      <c r="AA40" t="n">
        <v>26</v>
      </c>
      <c r="AB40" t="n">
        <v>115</v>
      </c>
      <c r="AC40" t="n">
        <v>131</v>
      </c>
      <c r="AD40" t="n">
        <v>124</v>
      </c>
      <c r="AE40" t="n">
        <v>124</v>
      </c>
      <c r="AF40" t="n">
        <v>137</v>
      </c>
      <c r="AG40" t="n">
        <v>129</v>
      </c>
      <c r="AH40" t="n">
        <v>123</v>
      </c>
      <c r="AI40" t="n">
        <v>137</v>
      </c>
      <c r="AJ40" t="n">
        <v>126</v>
      </c>
      <c r="AK40">
        <f>HYPERLINK("file:///home/hermansyah/Aplikasi%20TA/data/rgbdaun/34.png","LINK")</f>
        <v/>
      </c>
      <c r="AL40" t="n">
        <v>11</v>
      </c>
      <c r="AM40" t="n">
        <v>9</v>
      </c>
      <c r="AN40">
        <f>HYPERLINK("file:///home/hermansyah/Aplikasi%20TA/data/kelilingdaun/34_atas.png","LINK")</f>
        <v/>
      </c>
      <c r="AO40">
        <f>HYPERLINK("file:///home/hermansyah/Aplikasi%20TA/data/kelilingdaun/34_bawah.png","LINK")</f>
        <v/>
      </c>
      <c r="AP40" t="n">
        <v>0.9976958011687342</v>
      </c>
      <c r="AQ40" t="n">
        <v>0.7115501150658877</v>
      </c>
      <c r="AR40" t="n">
        <v>0.05610002088728151</v>
      </c>
      <c r="AS40" t="n">
        <v>2</v>
      </c>
      <c r="AT40" t="n">
        <v>2</v>
      </c>
      <c r="AU40" t="n">
        <v>2</v>
      </c>
    </row>
    <row r="41" spans="1:47">
      <c r="A41" t="n">
        <v>35</v>
      </c>
      <c r="B41" t="s">
        <v>64</v>
      </c>
      <c r="C41" t="n">
        <v>2.1</v>
      </c>
      <c r="D41" t="n">
        <v>1.9</v>
      </c>
      <c r="E41">
        <f>HYPERLINK("file:///home/hermansyah/Aplikasi%20TA/data/luasdaun/35_atas.png","LINK")</f>
        <v/>
      </c>
      <c r="F41">
        <f>HYPERLINK("file:///home/hermansyah/Aplikasi%20TA/data/luasdaun/35_bawah.png","LINK")</f>
        <v/>
      </c>
      <c r="G41" t="n">
        <v>0</v>
      </c>
      <c r="H41" t="n">
        <v>54</v>
      </c>
      <c r="I41" t="n">
        <v>11</v>
      </c>
      <c r="J41" t="n">
        <v>0</v>
      </c>
      <c r="K41" t="n">
        <v>50</v>
      </c>
      <c r="L41" t="n">
        <v>16</v>
      </c>
      <c r="M41" t="n">
        <v>0</v>
      </c>
      <c r="N41" t="n">
        <v>53</v>
      </c>
      <c r="O41" t="n">
        <v>20</v>
      </c>
      <c r="P41" t="n">
        <v>119</v>
      </c>
      <c r="Q41" t="n">
        <v>135</v>
      </c>
      <c r="R41" t="n">
        <v>124</v>
      </c>
      <c r="S41" t="n">
        <v>125</v>
      </c>
      <c r="T41" t="n">
        <v>138</v>
      </c>
      <c r="U41" t="n">
        <v>124</v>
      </c>
      <c r="V41" t="n">
        <v>0</v>
      </c>
      <c r="W41" t="n">
        <v>51</v>
      </c>
      <c r="X41" t="n">
        <v>11</v>
      </c>
      <c r="Y41" t="n">
        <v>2</v>
      </c>
      <c r="Z41" t="n">
        <v>51</v>
      </c>
      <c r="AA41" t="n">
        <v>19</v>
      </c>
      <c r="AB41" t="n">
        <v>2</v>
      </c>
      <c r="AC41" t="n">
        <v>67</v>
      </c>
      <c r="AD41" t="n">
        <v>35</v>
      </c>
      <c r="AE41" t="n">
        <v>118</v>
      </c>
      <c r="AF41" t="n">
        <v>134</v>
      </c>
      <c r="AG41" t="n">
        <v>123</v>
      </c>
      <c r="AH41" t="n">
        <v>125</v>
      </c>
      <c r="AI41" t="n">
        <v>138</v>
      </c>
      <c r="AJ41" t="n">
        <v>124</v>
      </c>
      <c r="AK41">
        <f>HYPERLINK("file:///home/hermansyah/Aplikasi%20TA/data/rgbdaun/35.png","LINK")</f>
        <v/>
      </c>
      <c r="AL41" t="n">
        <v>14</v>
      </c>
      <c r="AM41" t="n">
        <v>10</v>
      </c>
      <c r="AN41">
        <f>HYPERLINK("file:///home/hermansyah/Aplikasi%20TA/data/kelilingdaun/35_atas.png","LINK")</f>
        <v/>
      </c>
      <c r="AO41">
        <f>HYPERLINK("file:///home/hermansyah/Aplikasi%20TA/data/kelilingdaun/35_bawah.png","LINK")</f>
        <v/>
      </c>
      <c r="AP41" t="n">
        <v>0.9903953975096604</v>
      </c>
      <c r="AQ41" t="n">
        <v>0.7135297901475122</v>
      </c>
      <c r="AR41" t="n">
        <v>0.03623281937931524</v>
      </c>
      <c r="AS41" t="n">
        <v>2</v>
      </c>
      <c r="AT41" t="n">
        <v>2</v>
      </c>
      <c r="AU41" t="n">
        <v>2</v>
      </c>
    </row>
    <row r="42" spans="1:47">
      <c r="A42" t="n">
        <v>36</v>
      </c>
      <c r="B42" t="s">
        <v>65</v>
      </c>
      <c r="C42" t="n">
        <v>1.8</v>
      </c>
      <c r="D42" t="n">
        <v>1.3</v>
      </c>
      <c r="E42">
        <f>HYPERLINK("file:///home/hermansyah/Aplikasi%20TA/data/luasdaun/36_atas.png","LINK")</f>
        <v/>
      </c>
      <c r="F42">
        <f>HYPERLINK("file:///home/hermansyah/Aplikasi%20TA/data/luasdaun/36_bawah.png","LINK")</f>
        <v/>
      </c>
      <c r="G42" t="n">
        <v>0</v>
      </c>
      <c r="H42" t="n">
        <v>58</v>
      </c>
      <c r="I42" t="n">
        <v>24</v>
      </c>
      <c r="J42" t="n">
        <v>0</v>
      </c>
      <c r="K42" t="n">
        <v>54</v>
      </c>
      <c r="L42" t="n">
        <v>26</v>
      </c>
      <c r="M42" t="n">
        <v>0</v>
      </c>
      <c r="N42" t="n">
        <v>78</v>
      </c>
      <c r="O42" t="n">
        <v>57</v>
      </c>
      <c r="P42" t="n">
        <v>124</v>
      </c>
      <c r="Q42" t="n">
        <v>139</v>
      </c>
      <c r="R42" t="n">
        <v>131</v>
      </c>
      <c r="S42" t="n">
        <v>126</v>
      </c>
      <c r="T42" t="n">
        <v>140</v>
      </c>
      <c r="U42" t="n">
        <v>129</v>
      </c>
      <c r="V42" t="n">
        <v>0</v>
      </c>
      <c r="W42" t="n">
        <v>62</v>
      </c>
      <c r="X42" t="n">
        <v>32</v>
      </c>
      <c r="Y42" t="n">
        <v>0</v>
      </c>
      <c r="Z42" t="n">
        <v>55</v>
      </c>
      <c r="AA42" t="n">
        <v>27</v>
      </c>
      <c r="AB42" t="n">
        <v>119</v>
      </c>
      <c r="AC42" t="n">
        <v>133</v>
      </c>
      <c r="AD42" t="n">
        <v>129</v>
      </c>
      <c r="AE42" t="n">
        <v>124</v>
      </c>
      <c r="AF42" t="n">
        <v>137</v>
      </c>
      <c r="AG42" t="n">
        <v>129</v>
      </c>
      <c r="AH42" t="n">
        <v>127</v>
      </c>
      <c r="AI42" t="n">
        <v>138</v>
      </c>
      <c r="AJ42" t="n">
        <v>128</v>
      </c>
      <c r="AK42">
        <f>HYPERLINK("file:///home/hermansyah/Aplikasi%20TA/data/rgbdaun/36.png","LINK")</f>
        <v/>
      </c>
      <c r="AL42" t="n">
        <v>12</v>
      </c>
      <c r="AM42" t="n">
        <v>9</v>
      </c>
      <c r="AN42">
        <f>HYPERLINK("file:///home/hermansyah/Aplikasi%20TA/data/kelilingdaun/36_atas.png","LINK")</f>
        <v/>
      </c>
      <c r="AO42">
        <f>HYPERLINK("file:///home/hermansyah/Aplikasi%20TA/data/kelilingdaun/36_bawah.png","LINK")</f>
        <v/>
      </c>
      <c r="AP42" t="n">
        <v>0.9988001035717344</v>
      </c>
      <c r="AQ42" t="n">
        <v>0.7118938784662828</v>
      </c>
      <c r="AR42" t="n">
        <v>0.01367996594401792</v>
      </c>
      <c r="AS42" t="n">
        <v>2</v>
      </c>
      <c r="AT42" t="n">
        <v>2</v>
      </c>
      <c r="AU42" t="n">
        <v>2</v>
      </c>
    </row>
    <row r="43" spans="1:47">
      <c r="A43" t="n">
        <v>37</v>
      </c>
      <c r="B43" t="s">
        <v>66</v>
      </c>
      <c r="C43" t="n">
        <v>2.2</v>
      </c>
      <c r="D43" t="n">
        <v>2.1</v>
      </c>
      <c r="E43">
        <f>HYPERLINK("file:///home/hermansyah/Aplikasi%20TA/data/luasdaun/37_atas.png","LINK")</f>
        <v/>
      </c>
      <c r="F43">
        <f>HYPERLINK("file:///home/hermansyah/Aplikasi%20TA/data/luasdaun/37_bawah.png","LINK")</f>
        <v/>
      </c>
      <c r="G43" t="n">
        <v>0</v>
      </c>
      <c r="H43" t="n">
        <v>55</v>
      </c>
      <c r="I43" t="n">
        <v>14</v>
      </c>
      <c r="J43" t="n">
        <v>0</v>
      </c>
      <c r="K43" t="n">
        <v>57</v>
      </c>
      <c r="L43" t="n">
        <v>21</v>
      </c>
      <c r="M43" t="n">
        <v>0</v>
      </c>
      <c r="N43" t="n">
        <v>57</v>
      </c>
      <c r="O43" t="n">
        <v>26</v>
      </c>
      <c r="P43" t="n">
        <v>85</v>
      </c>
      <c r="Q43" t="n">
        <v>121</v>
      </c>
      <c r="R43" t="n">
        <v>109</v>
      </c>
      <c r="S43" t="n">
        <v>125</v>
      </c>
      <c r="T43" t="n">
        <v>137</v>
      </c>
      <c r="U43" t="n">
        <v>125</v>
      </c>
      <c r="V43" t="n">
        <v>0</v>
      </c>
      <c r="W43" t="n">
        <v>55</v>
      </c>
      <c r="X43" t="n">
        <v>16</v>
      </c>
      <c r="Y43" t="n">
        <v>0</v>
      </c>
      <c r="Z43" t="n">
        <v>52</v>
      </c>
      <c r="AA43" t="n">
        <v>19</v>
      </c>
      <c r="AB43" t="n">
        <v>0</v>
      </c>
      <c r="AC43" t="n">
        <v>60</v>
      </c>
      <c r="AD43" t="n">
        <v>26</v>
      </c>
      <c r="AE43" t="n">
        <v>123</v>
      </c>
      <c r="AF43" t="n">
        <v>136</v>
      </c>
      <c r="AG43" t="n">
        <v>128</v>
      </c>
      <c r="AH43" t="n">
        <v>125</v>
      </c>
      <c r="AI43" t="n">
        <v>137</v>
      </c>
      <c r="AJ43" t="n">
        <v>125</v>
      </c>
      <c r="AK43">
        <f>HYPERLINK("file:///home/hermansyah/Aplikasi%20TA/data/rgbdaun/37.png","LINK")</f>
        <v/>
      </c>
      <c r="AL43" t="n">
        <v>13</v>
      </c>
      <c r="AM43" t="n">
        <v>11</v>
      </c>
      <c r="AN43">
        <f>HYPERLINK("file:///home/hermansyah/Aplikasi%20TA/data/kelilingdaun/37_atas.png","LINK")</f>
        <v/>
      </c>
      <c r="AO43">
        <f>HYPERLINK("file:///home/hermansyah/Aplikasi%20TA/data/kelilingdaun/37_bawah.png","LINK")</f>
        <v/>
      </c>
      <c r="AP43" t="n">
        <v>0.9903588742604723</v>
      </c>
      <c r="AQ43" t="n">
        <v>0.7138501890841614</v>
      </c>
      <c r="AR43" t="n">
        <v>0.0361121395172049</v>
      </c>
      <c r="AS43" t="n">
        <v>2</v>
      </c>
      <c r="AT43" t="n">
        <v>2</v>
      </c>
      <c r="AU43" t="n">
        <v>2</v>
      </c>
    </row>
    <row r="44" spans="1:47">
      <c r="A44" t="n">
        <v>38</v>
      </c>
      <c r="B44" t="s">
        <v>67</v>
      </c>
      <c r="C44" t="n">
        <v>1.3</v>
      </c>
      <c r="D44" t="n">
        <v>1.6</v>
      </c>
      <c r="E44">
        <f>HYPERLINK("file:///home/hermansyah/Aplikasi%20TA/data/luasdaun/38_atas.png","LINK")</f>
        <v/>
      </c>
      <c r="F44">
        <f>HYPERLINK("file:///home/hermansyah/Aplikasi%20TA/data/luasdaun/38_bawah.png","LINK")</f>
        <v/>
      </c>
      <c r="G44" t="n">
        <v>2</v>
      </c>
      <c r="H44" t="n">
        <v>63</v>
      </c>
      <c r="I44" t="n">
        <v>29</v>
      </c>
      <c r="J44" t="n">
        <v>0</v>
      </c>
      <c r="K44" t="n">
        <v>53</v>
      </c>
      <c r="L44" t="n">
        <v>26</v>
      </c>
      <c r="M44" t="n">
        <v>17</v>
      </c>
      <c r="N44" t="n">
        <v>69</v>
      </c>
      <c r="O44" t="n">
        <v>51</v>
      </c>
      <c r="P44" t="n">
        <v>124</v>
      </c>
      <c r="Q44" t="n">
        <v>137</v>
      </c>
      <c r="R44" t="n">
        <v>129</v>
      </c>
      <c r="S44" t="n">
        <v>126</v>
      </c>
      <c r="T44" t="n">
        <v>137</v>
      </c>
      <c r="U44" t="n">
        <v>127</v>
      </c>
      <c r="V44" t="n">
        <v>5</v>
      </c>
      <c r="W44" t="n">
        <v>65</v>
      </c>
      <c r="X44" t="n">
        <v>35</v>
      </c>
      <c r="Y44" t="n">
        <v>0</v>
      </c>
      <c r="Z44" t="n">
        <v>54</v>
      </c>
      <c r="AA44" t="n">
        <v>27</v>
      </c>
      <c r="AB44" t="n">
        <v>111</v>
      </c>
      <c r="AC44" t="n">
        <v>127</v>
      </c>
      <c r="AD44" t="n">
        <v>120</v>
      </c>
      <c r="AE44" t="n">
        <v>125</v>
      </c>
      <c r="AF44" t="n">
        <v>136</v>
      </c>
      <c r="AG44" t="n">
        <v>128</v>
      </c>
      <c r="AH44" t="n">
        <v>126</v>
      </c>
      <c r="AI44" t="n">
        <v>138</v>
      </c>
      <c r="AJ44" t="n">
        <v>126</v>
      </c>
      <c r="AK44">
        <f>HYPERLINK("file:///home/hermansyah/Aplikasi%20TA/data/rgbdaun/38.png","LINK")</f>
        <v/>
      </c>
      <c r="AL44" t="n">
        <v>10</v>
      </c>
      <c r="AM44" t="n">
        <v>10</v>
      </c>
      <c r="AN44">
        <f>HYPERLINK("file:///home/hermansyah/Aplikasi%20TA/data/kelilingdaun/38_atas.png","LINK")</f>
        <v/>
      </c>
      <c r="AO44">
        <f>HYPERLINK("file:///home/hermansyah/Aplikasi%20TA/data/kelilingdaun/38_bawah.png","LINK")</f>
        <v/>
      </c>
      <c r="AP44" t="n">
        <v>0.9908634305458445</v>
      </c>
      <c r="AQ44" t="n">
        <v>0.9220509503612092</v>
      </c>
      <c r="AR44" t="n">
        <v>0.01108185399727828</v>
      </c>
      <c r="AS44" t="n">
        <v>2</v>
      </c>
      <c r="AT44" t="n">
        <v>2</v>
      </c>
      <c r="AU44" t="n">
        <v>4</v>
      </c>
    </row>
    <row r="45" spans="1:47">
      <c r="A45" t="n">
        <v>39</v>
      </c>
      <c r="B45" t="s">
        <v>68</v>
      </c>
      <c r="C45" t="n">
        <v>2.6</v>
      </c>
      <c r="D45" t="n">
        <v>1.5</v>
      </c>
      <c r="E45">
        <f>HYPERLINK("file:///home/hermansyah/Aplikasi%20TA/data/luasdaun/39_atas.png","LINK")</f>
        <v/>
      </c>
      <c r="F45">
        <f>HYPERLINK("file:///home/hermansyah/Aplikasi%20TA/data/luasdaun/39_bawah.png","LINK")</f>
        <v/>
      </c>
      <c r="G45" t="n">
        <v>0</v>
      </c>
      <c r="H45" t="n">
        <v>48</v>
      </c>
      <c r="I45" t="n">
        <v>16</v>
      </c>
      <c r="J45" t="n">
        <v>4</v>
      </c>
      <c r="K45" t="n">
        <v>53</v>
      </c>
      <c r="L45" t="n">
        <v>25</v>
      </c>
      <c r="M45" t="n">
        <v>0</v>
      </c>
      <c r="N45" t="n">
        <v>52</v>
      </c>
      <c r="O45" t="n">
        <v>25</v>
      </c>
      <c r="P45" t="n">
        <v>3</v>
      </c>
      <c r="Q45" t="n">
        <v>74</v>
      </c>
      <c r="R45" t="n">
        <v>48</v>
      </c>
      <c r="S45" t="n">
        <v>125</v>
      </c>
      <c r="T45" t="n">
        <v>137</v>
      </c>
      <c r="U45" t="n">
        <v>125</v>
      </c>
      <c r="V45" t="n">
        <v>0</v>
      </c>
      <c r="W45" t="n">
        <v>51</v>
      </c>
      <c r="X45" t="n">
        <v>21</v>
      </c>
      <c r="Y45" t="n">
        <v>0</v>
      </c>
      <c r="Z45" t="n">
        <v>56</v>
      </c>
      <c r="AA45" t="n">
        <v>25</v>
      </c>
      <c r="AB45" t="n">
        <v>8</v>
      </c>
      <c r="AC45" t="n">
        <v>62</v>
      </c>
      <c r="AD45" t="n">
        <v>39</v>
      </c>
      <c r="AE45" t="n">
        <v>121</v>
      </c>
      <c r="AF45" t="n">
        <v>134</v>
      </c>
      <c r="AG45" t="n">
        <v>126</v>
      </c>
      <c r="AH45" t="n">
        <v>123</v>
      </c>
      <c r="AI45" t="n">
        <v>135</v>
      </c>
      <c r="AJ45" t="n">
        <v>123</v>
      </c>
      <c r="AK45">
        <f>HYPERLINK("file:///home/hermansyah/Aplikasi%20TA/data/rgbdaun/39.png","LINK")</f>
        <v/>
      </c>
      <c r="AL45" t="n">
        <v>14</v>
      </c>
      <c r="AM45" t="n">
        <v>9</v>
      </c>
      <c r="AN45">
        <f>HYPERLINK("file:///home/hermansyah/Aplikasi%20TA/data/kelilingdaun/39_atas.png","LINK")</f>
        <v/>
      </c>
      <c r="AO45">
        <f>HYPERLINK("file:///home/hermansyah/Aplikasi%20TA/data/kelilingdaun/39_bawah.png","LINK")</f>
        <v/>
      </c>
      <c r="AP45" t="n">
        <v>0.9966442496921297</v>
      </c>
      <c r="AQ45" t="n">
        <v>0.7129334974612691</v>
      </c>
      <c r="AR45" t="n">
        <v>0.03565583269449325</v>
      </c>
      <c r="AS45" t="n">
        <v>2</v>
      </c>
      <c r="AT45" t="n">
        <v>2</v>
      </c>
      <c r="AU45" t="n">
        <v>2</v>
      </c>
    </row>
    <row r="46" spans="1:47">
      <c r="A46" t="n">
        <v>40</v>
      </c>
      <c r="B46" t="s">
        <v>69</v>
      </c>
      <c r="C46" t="n">
        <v>2.2</v>
      </c>
      <c r="D46" t="n">
        <v>1.8</v>
      </c>
      <c r="E46">
        <f>HYPERLINK("file:///home/hermansyah/Aplikasi%20TA/data/luasdaun/40_atas.png","LINK")</f>
        <v/>
      </c>
      <c r="F46">
        <f>HYPERLINK("file:///home/hermansyah/Aplikasi%20TA/data/luasdaun/40_bawah.png","LINK")</f>
        <v/>
      </c>
      <c r="G46" t="n">
        <v>0</v>
      </c>
      <c r="H46" t="n">
        <v>42</v>
      </c>
      <c r="I46" t="n">
        <v>15</v>
      </c>
      <c r="J46" t="n">
        <v>0</v>
      </c>
      <c r="K46" t="n">
        <v>45</v>
      </c>
      <c r="L46" t="n">
        <v>19</v>
      </c>
      <c r="M46" t="n">
        <v>1</v>
      </c>
      <c r="N46" t="n">
        <v>45</v>
      </c>
      <c r="O46" t="n">
        <v>22</v>
      </c>
      <c r="P46" t="n">
        <v>124</v>
      </c>
      <c r="Q46" t="n">
        <v>137</v>
      </c>
      <c r="R46" t="n">
        <v>129</v>
      </c>
      <c r="S46" t="n">
        <v>125</v>
      </c>
      <c r="T46" t="n">
        <v>137</v>
      </c>
      <c r="U46" t="n">
        <v>125</v>
      </c>
      <c r="V46" t="n">
        <v>1</v>
      </c>
      <c r="W46" t="n">
        <v>37</v>
      </c>
      <c r="X46" t="n">
        <v>13</v>
      </c>
      <c r="Y46" t="n">
        <v>1</v>
      </c>
      <c r="Z46" t="n">
        <v>46</v>
      </c>
      <c r="AA46" t="n">
        <v>20</v>
      </c>
      <c r="AB46" t="n">
        <v>119</v>
      </c>
      <c r="AC46" t="n">
        <v>131</v>
      </c>
      <c r="AD46" t="n">
        <v>125</v>
      </c>
      <c r="AE46" t="n">
        <v>125</v>
      </c>
      <c r="AF46" t="n">
        <v>136</v>
      </c>
      <c r="AG46" t="n">
        <v>128</v>
      </c>
      <c r="AH46" t="n">
        <v>126</v>
      </c>
      <c r="AI46" t="n">
        <v>138</v>
      </c>
      <c r="AJ46" t="n">
        <v>126</v>
      </c>
      <c r="AK46">
        <f>HYPERLINK("file:///home/hermansyah/Aplikasi%20TA/data/rgbdaun/40.png","LINK")</f>
        <v/>
      </c>
      <c r="AL46" t="n">
        <v>12</v>
      </c>
      <c r="AM46" t="n">
        <v>10</v>
      </c>
      <c r="AN46">
        <f>HYPERLINK("file:///home/hermansyah/Aplikasi%20TA/data/kelilingdaun/40_atas.png","LINK")</f>
        <v/>
      </c>
      <c r="AO46">
        <f>HYPERLINK("file:///home/hermansyah/Aplikasi%20TA/data/kelilingdaun/40_bawah.png","LINK")</f>
        <v/>
      </c>
      <c r="AP46" t="n">
        <v>0.9905229886815428</v>
      </c>
      <c r="AQ46" t="n">
        <v>0.7129277537640434</v>
      </c>
      <c r="AR46" t="n">
        <v>0.07454799063827132</v>
      </c>
      <c r="AS46" t="n">
        <v>2</v>
      </c>
      <c r="AT46" t="n">
        <v>2</v>
      </c>
      <c r="AU46" t="n">
        <v>2</v>
      </c>
    </row>
    <row r="47" spans="1:47">
      <c r="A47" t="n">
        <v>41</v>
      </c>
      <c r="B47" t="s">
        <v>70</v>
      </c>
      <c r="C47" t="n">
        <v>1.9</v>
      </c>
      <c r="D47" t="n">
        <v>2.2</v>
      </c>
      <c r="E47">
        <f>HYPERLINK("file:///home/hermansyah/Aplikasi%20TA/data/luasdaun/41_atas.png","LINK")</f>
        <v/>
      </c>
      <c r="F47">
        <f>HYPERLINK("file:///home/hermansyah/Aplikasi%20TA/data/luasdaun/41_bawah.png","LINK")</f>
        <v/>
      </c>
      <c r="G47" t="n">
        <v>0</v>
      </c>
      <c r="H47" t="n">
        <v>55</v>
      </c>
      <c r="I47" t="n">
        <v>17</v>
      </c>
      <c r="J47" t="n">
        <v>0</v>
      </c>
      <c r="K47" t="n">
        <v>55</v>
      </c>
      <c r="L47" t="n">
        <v>24</v>
      </c>
      <c r="M47" t="n">
        <v>0</v>
      </c>
      <c r="N47" t="n">
        <v>62</v>
      </c>
      <c r="O47" t="n">
        <v>36</v>
      </c>
      <c r="P47" t="n">
        <v>124</v>
      </c>
      <c r="Q47" t="n">
        <v>137</v>
      </c>
      <c r="R47" t="n">
        <v>129</v>
      </c>
      <c r="S47" t="n">
        <v>128</v>
      </c>
      <c r="T47" t="n">
        <v>139</v>
      </c>
      <c r="U47" t="n">
        <v>129</v>
      </c>
      <c r="V47" t="n">
        <v>0</v>
      </c>
      <c r="W47" t="n">
        <v>55</v>
      </c>
      <c r="X47" t="n">
        <v>20</v>
      </c>
      <c r="Y47" t="n">
        <v>0</v>
      </c>
      <c r="Z47" t="n">
        <v>52</v>
      </c>
      <c r="AA47" t="n">
        <v>22</v>
      </c>
      <c r="AB47" t="n">
        <v>0</v>
      </c>
      <c r="AC47" t="n">
        <v>65</v>
      </c>
      <c r="AD47" t="n">
        <v>40</v>
      </c>
      <c r="AE47" t="n">
        <v>123</v>
      </c>
      <c r="AF47" t="n">
        <v>136</v>
      </c>
      <c r="AG47" t="n">
        <v>128</v>
      </c>
      <c r="AH47" t="n">
        <v>126</v>
      </c>
      <c r="AI47" t="n">
        <v>138</v>
      </c>
      <c r="AJ47" t="n">
        <v>126</v>
      </c>
      <c r="AK47">
        <f>HYPERLINK("file:///home/hermansyah/Aplikasi%20TA/data/rgbdaun/41.png","LINK")</f>
        <v/>
      </c>
      <c r="AL47" t="n">
        <v>11</v>
      </c>
      <c r="AM47" t="n">
        <v>12</v>
      </c>
      <c r="AN47">
        <f>HYPERLINK("file:///home/hermansyah/Aplikasi%20TA/data/kelilingdaun/41_atas.png","LINK")</f>
        <v/>
      </c>
      <c r="AO47">
        <f>HYPERLINK("file:///home/hermansyah/Aplikasi%20TA/data/kelilingdaun/41_bawah.png","LINK")</f>
        <v/>
      </c>
      <c r="AP47" t="n">
        <v>0.9903558613078173</v>
      </c>
      <c r="AQ47" t="n">
        <v>0.9383950549320534</v>
      </c>
      <c r="AR47" t="n">
        <v>0.03625431050915136</v>
      </c>
      <c r="AS47" t="n">
        <v>2</v>
      </c>
      <c r="AT47" t="n">
        <v>2</v>
      </c>
      <c r="AU47" t="n">
        <v>2</v>
      </c>
    </row>
    <row r="48" spans="1:47">
      <c r="A48" t="n">
        <v>42</v>
      </c>
      <c r="B48" t="s">
        <v>71</v>
      </c>
      <c r="C48" t="n">
        <v>2</v>
      </c>
      <c r="D48" t="n">
        <v>1.9</v>
      </c>
      <c r="E48">
        <f>HYPERLINK("file:///home/hermansyah/Aplikasi%20TA/data/luasdaun/42_atas.png","LINK")</f>
        <v/>
      </c>
      <c r="F48">
        <f>HYPERLINK("file:///home/hermansyah/Aplikasi%20TA/data/luasdaun/42_bawah.png","LINK")</f>
        <v/>
      </c>
      <c r="G48" t="n">
        <v>0</v>
      </c>
      <c r="H48" t="n">
        <v>59</v>
      </c>
      <c r="I48" t="n">
        <v>17</v>
      </c>
      <c r="J48" t="n">
        <v>0</v>
      </c>
      <c r="K48" t="n">
        <v>54</v>
      </c>
      <c r="L48" t="n">
        <v>21</v>
      </c>
      <c r="M48" t="n">
        <v>0</v>
      </c>
      <c r="N48" t="n">
        <v>62</v>
      </c>
      <c r="O48" t="n">
        <v>30</v>
      </c>
      <c r="P48" t="n">
        <v>124</v>
      </c>
      <c r="Q48" t="n">
        <v>138</v>
      </c>
      <c r="R48" t="n">
        <v>127</v>
      </c>
      <c r="S48" t="n">
        <v>127</v>
      </c>
      <c r="T48" t="n">
        <v>139</v>
      </c>
      <c r="U48" t="n">
        <v>127</v>
      </c>
      <c r="V48" t="n">
        <v>0</v>
      </c>
      <c r="W48" t="n">
        <v>61</v>
      </c>
      <c r="X48" t="n">
        <v>23</v>
      </c>
      <c r="Y48" t="n">
        <v>0</v>
      </c>
      <c r="Z48" t="n">
        <v>55</v>
      </c>
      <c r="AA48" t="n">
        <v>20</v>
      </c>
      <c r="AB48" t="n">
        <v>117</v>
      </c>
      <c r="AC48" t="n">
        <v>131</v>
      </c>
      <c r="AD48" t="n">
        <v>125</v>
      </c>
      <c r="AE48" t="n">
        <v>123</v>
      </c>
      <c r="AF48" t="n">
        <v>136</v>
      </c>
      <c r="AG48" t="n">
        <v>128</v>
      </c>
      <c r="AH48" t="n">
        <v>126</v>
      </c>
      <c r="AI48" t="n">
        <v>136</v>
      </c>
      <c r="AJ48" t="n">
        <v>123</v>
      </c>
      <c r="AK48">
        <f>HYPERLINK("file:///home/hermansyah/Aplikasi%20TA/data/rgbdaun/42.png","LINK")</f>
        <v/>
      </c>
      <c r="AL48" t="n">
        <v>12</v>
      </c>
      <c r="AM48" t="n">
        <v>10</v>
      </c>
      <c r="AN48">
        <f>HYPERLINK("file:///home/hermansyah/Aplikasi%20TA/data/kelilingdaun/42_atas.png","LINK")</f>
        <v/>
      </c>
      <c r="AO48">
        <f>HYPERLINK("file:///home/hermansyah/Aplikasi%20TA/data/kelilingdaun/42_bawah.png","LINK")</f>
        <v/>
      </c>
      <c r="AP48" t="n">
        <v>0.9903895190113724</v>
      </c>
      <c r="AQ48" t="n">
        <v>0.7129277537640434</v>
      </c>
      <c r="AR48" t="n">
        <v>0.05880813499141264</v>
      </c>
      <c r="AS48" t="n">
        <v>2</v>
      </c>
      <c r="AT48" t="n">
        <v>2</v>
      </c>
      <c r="AU48" t="n">
        <v>2</v>
      </c>
    </row>
    <row r="49" spans="1:47">
      <c r="A49" t="n">
        <v>43</v>
      </c>
      <c r="B49" t="s">
        <v>72</v>
      </c>
      <c r="C49" t="n">
        <v>1.9</v>
      </c>
      <c r="D49" t="n">
        <v>1.7</v>
      </c>
      <c r="E49">
        <f>HYPERLINK("file:///home/hermansyah/Aplikasi%20TA/data/luasdaun/43_atas.png","LINK")</f>
        <v/>
      </c>
      <c r="F49">
        <f>HYPERLINK("file:///home/hermansyah/Aplikasi%20TA/data/luasdaun/43_bawah.png","LINK")</f>
        <v/>
      </c>
      <c r="G49" t="n">
        <v>0</v>
      </c>
      <c r="H49" t="n">
        <v>62</v>
      </c>
      <c r="I49" t="n">
        <v>20</v>
      </c>
      <c r="J49" t="n">
        <v>0</v>
      </c>
      <c r="K49" t="n">
        <v>59</v>
      </c>
      <c r="L49" t="n">
        <v>25</v>
      </c>
      <c r="M49" t="n">
        <v>0</v>
      </c>
      <c r="N49" t="n">
        <v>66</v>
      </c>
      <c r="O49" t="n">
        <v>37</v>
      </c>
      <c r="P49" t="n">
        <v>102</v>
      </c>
      <c r="Q49" t="n">
        <v>123</v>
      </c>
      <c r="R49" t="n">
        <v>114</v>
      </c>
      <c r="S49" t="n">
        <v>128</v>
      </c>
      <c r="T49" t="n">
        <v>140</v>
      </c>
      <c r="U49" t="n">
        <v>128</v>
      </c>
      <c r="V49" t="n">
        <v>0</v>
      </c>
      <c r="W49" t="n">
        <v>54</v>
      </c>
      <c r="X49" t="n">
        <v>13</v>
      </c>
      <c r="Y49" t="n">
        <v>0</v>
      </c>
      <c r="Z49" t="n">
        <v>57</v>
      </c>
      <c r="AA49" t="n">
        <v>23</v>
      </c>
      <c r="AB49" t="n">
        <v>90</v>
      </c>
      <c r="AC49" t="n">
        <v>111</v>
      </c>
      <c r="AD49" t="n">
        <v>102</v>
      </c>
      <c r="AE49" t="n">
        <v>123</v>
      </c>
      <c r="AF49" t="n">
        <v>137</v>
      </c>
      <c r="AG49" t="n">
        <v>126</v>
      </c>
      <c r="AH49" t="n">
        <v>126</v>
      </c>
      <c r="AI49" t="n">
        <v>138</v>
      </c>
      <c r="AJ49" t="n">
        <v>126</v>
      </c>
      <c r="AK49">
        <f>HYPERLINK("file:///home/hermansyah/Aplikasi%20TA/data/rgbdaun/43.png","LINK")</f>
        <v/>
      </c>
      <c r="AL49" t="n">
        <v>12</v>
      </c>
      <c r="AM49" t="n">
        <v>10</v>
      </c>
      <c r="AN49">
        <f>HYPERLINK("file:///home/hermansyah/Aplikasi%20TA/data/kelilingdaun/43_atas.png","LINK")</f>
        <v/>
      </c>
      <c r="AO49">
        <f>HYPERLINK("file:///home/hermansyah/Aplikasi%20TA/data/kelilingdaun/43_bawah.png","LINK")</f>
        <v/>
      </c>
      <c r="AP49" t="n">
        <v>0.9907244011502488</v>
      </c>
      <c r="AQ49" t="n">
        <v>0.7129277537640434</v>
      </c>
      <c r="AR49" t="n">
        <v>0.03758512063325114</v>
      </c>
      <c r="AS49" t="n">
        <v>2</v>
      </c>
      <c r="AT49" t="n">
        <v>2</v>
      </c>
      <c r="AU49" t="n">
        <v>2</v>
      </c>
    </row>
    <row r="50" spans="1:47">
      <c r="A50" t="n">
        <v>44</v>
      </c>
      <c r="B50" t="s">
        <v>73</v>
      </c>
      <c r="C50" t="n">
        <v>1.6</v>
      </c>
      <c r="D50" t="n">
        <v>1.8</v>
      </c>
      <c r="E50">
        <f>HYPERLINK("file:///home/hermansyah/Aplikasi%20TA/data/luasdaun/44_atas.png","LINK")</f>
        <v/>
      </c>
      <c r="F50">
        <f>HYPERLINK("file:///home/hermansyah/Aplikasi%20TA/data/luasdaun/44_bawah.png","LINK")</f>
        <v/>
      </c>
      <c r="G50" t="n">
        <v>0</v>
      </c>
      <c r="H50" t="n">
        <v>67</v>
      </c>
      <c r="I50" t="n">
        <v>36</v>
      </c>
      <c r="J50" t="n">
        <v>0</v>
      </c>
      <c r="K50" t="n">
        <v>58</v>
      </c>
      <c r="L50" t="n">
        <v>32</v>
      </c>
      <c r="M50" t="n">
        <v>88</v>
      </c>
      <c r="N50" t="n">
        <v>115</v>
      </c>
      <c r="O50" t="n">
        <v>106</v>
      </c>
      <c r="P50" t="n">
        <v>125</v>
      </c>
      <c r="Q50" t="n">
        <v>138</v>
      </c>
      <c r="R50" t="n">
        <v>130</v>
      </c>
      <c r="S50" t="n">
        <v>128</v>
      </c>
      <c r="T50" t="n">
        <v>139</v>
      </c>
      <c r="U50" t="n">
        <v>129</v>
      </c>
      <c r="V50" t="n">
        <v>1</v>
      </c>
      <c r="W50" t="n">
        <v>58</v>
      </c>
      <c r="X50" t="n">
        <v>27</v>
      </c>
      <c r="Y50" t="n">
        <v>0</v>
      </c>
      <c r="Z50" t="n">
        <v>56</v>
      </c>
      <c r="AA50" t="n">
        <v>27</v>
      </c>
      <c r="AB50" t="n">
        <v>120</v>
      </c>
      <c r="AC50" t="n">
        <v>134</v>
      </c>
      <c r="AD50" t="n">
        <v>128</v>
      </c>
      <c r="AE50" t="n">
        <v>123</v>
      </c>
      <c r="AF50" t="n">
        <v>136</v>
      </c>
      <c r="AG50" t="n">
        <v>128</v>
      </c>
      <c r="AH50" t="n">
        <v>127</v>
      </c>
      <c r="AI50" t="n">
        <v>139</v>
      </c>
      <c r="AJ50" t="n">
        <v>127</v>
      </c>
      <c r="AK50">
        <f>HYPERLINK("file:///home/hermansyah/Aplikasi%20TA/data/rgbdaun/44.png","LINK")</f>
        <v/>
      </c>
      <c r="AL50" t="n">
        <v>11</v>
      </c>
      <c r="AM50" t="n">
        <v>10</v>
      </c>
      <c r="AN50">
        <f>HYPERLINK("file:///home/hermansyah/Aplikasi%20TA/data/kelilingdaun/44_atas.png","LINK")</f>
        <v/>
      </c>
      <c r="AO50">
        <f>HYPERLINK("file:///home/hermansyah/Aplikasi%20TA/data/kelilingdaun/44_bawah.png","LINK")</f>
        <v/>
      </c>
      <c r="AP50" t="n">
        <v>0.9904205543971376</v>
      </c>
      <c r="AQ50" t="n">
        <v>0.7330066837290872</v>
      </c>
      <c r="AR50" t="n">
        <v>2.106810570481199e-06</v>
      </c>
      <c r="AS50" t="n">
        <v>2</v>
      </c>
      <c r="AT50" t="n">
        <v>2</v>
      </c>
      <c r="AU50" t="n">
        <v>1</v>
      </c>
    </row>
    <row r="51" spans="1:47">
      <c r="A51" t="n">
        <v>45</v>
      </c>
      <c r="B51" t="s">
        <v>74</v>
      </c>
      <c r="C51" t="n">
        <v>1.6</v>
      </c>
      <c r="D51" t="n">
        <v>1.5</v>
      </c>
      <c r="E51">
        <f>HYPERLINK("file:///home/hermansyah/Aplikasi%20TA/data/luasdaun/45_atas.png","LINK")</f>
        <v/>
      </c>
      <c r="F51">
        <f>HYPERLINK("file:///home/hermansyah/Aplikasi%20TA/data/luasdaun/45_bawah.png","LINK")</f>
        <v/>
      </c>
      <c r="G51" t="n">
        <v>0</v>
      </c>
      <c r="H51" t="n">
        <v>57</v>
      </c>
      <c r="I51" t="n">
        <v>16</v>
      </c>
      <c r="J51" t="n">
        <v>0</v>
      </c>
      <c r="K51" t="n">
        <v>57</v>
      </c>
      <c r="L51" t="n">
        <v>23</v>
      </c>
      <c r="M51" t="n">
        <v>99</v>
      </c>
      <c r="N51" t="n">
        <v>122</v>
      </c>
      <c r="O51" t="n">
        <v>114</v>
      </c>
      <c r="P51" t="n">
        <v>126</v>
      </c>
      <c r="Q51" t="n">
        <v>139</v>
      </c>
      <c r="R51" t="n">
        <v>131</v>
      </c>
      <c r="S51" t="n">
        <v>127</v>
      </c>
      <c r="T51" t="n">
        <v>139</v>
      </c>
      <c r="U51" t="n">
        <v>127</v>
      </c>
      <c r="V51" t="n">
        <v>0</v>
      </c>
      <c r="W51" t="n">
        <v>48</v>
      </c>
      <c r="X51" t="n">
        <v>10</v>
      </c>
      <c r="Y51" t="n">
        <v>1</v>
      </c>
      <c r="Z51" t="n">
        <v>58</v>
      </c>
      <c r="AA51" t="n">
        <v>25</v>
      </c>
      <c r="AB51" t="n">
        <v>121</v>
      </c>
      <c r="AC51" t="n">
        <v>135</v>
      </c>
      <c r="AD51" t="n">
        <v>129</v>
      </c>
      <c r="AE51" t="n">
        <v>124</v>
      </c>
      <c r="AF51" t="n">
        <v>137</v>
      </c>
      <c r="AG51" t="n">
        <v>129</v>
      </c>
      <c r="AH51" t="n">
        <v>126</v>
      </c>
      <c r="AI51" t="n">
        <v>138</v>
      </c>
      <c r="AJ51" t="n">
        <v>126</v>
      </c>
      <c r="AK51">
        <f>HYPERLINK("file:///home/hermansyah/Aplikasi%20TA/data/rgbdaun/45.png","LINK")</f>
        <v/>
      </c>
      <c r="AL51" t="n">
        <v>11</v>
      </c>
      <c r="AM51" t="n">
        <v>9</v>
      </c>
      <c r="AN51">
        <f>HYPERLINK("file:///home/hermansyah/Aplikasi%20TA/data/kelilingdaun/45_atas.png","LINK")</f>
        <v/>
      </c>
      <c r="AO51">
        <f>HYPERLINK("file:///home/hermansyah/Aplikasi%20TA/data/kelilingdaun/45_bawah.png","LINK")</f>
        <v/>
      </c>
      <c r="AP51" t="n">
        <v>0.9927882429582494</v>
      </c>
      <c r="AQ51" t="n">
        <v>0.7115501150658877</v>
      </c>
      <c r="AR51" t="n">
        <v>2.174362443858365e-06</v>
      </c>
      <c r="AS51" t="n">
        <v>2</v>
      </c>
      <c r="AT51" t="n">
        <v>2</v>
      </c>
      <c r="AU51" t="n">
        <v>0</v>
      </c>
    </row>
    <row r="52" spans="1:47">
      <c r="A52" t="n">
        <v>46</v>
      </c>
      <c r="B52" t="s">
        <v>75</v>
      </c>
      <c r="C52" t="n">
        <v>1.9</v>
      </c>
      <c r="D52" t="n">
        <v>1.5</v>
      </c>
      <c r="E52">
        <f>HYPERLINK("file:///home/hermansyah/Aplikasi%20TA/data/luasdaun/46_atas.png","LINK")</f>
        <v/>
      </c>
      <c r="F52">
        <f>HYPERLINK("file:///home/hermansyah/Aplikasi%20TA/data/luasdaun/46_bawah.png","LINK")</f>
        <v/>
      </c>
      <c r="G52" t="n">
        <v>0</v>
      </c>
      <c r="H52" t="n">
        <v>54</v>
      </c>
      <c r="I52" t="n">
        <v>15</v>
      </c>
      <c r="J52" t="n">
        <v>0</v>
      </c>
      <c r="K52" t="n">
        <v>53</v>
      </c>
      <c r="L52" t="n">
        <v>20</v>
      </c>
      <c r="M52" t="n">
        <v>117</v>
      </c>
      <c r="N52" t="n">
        <v>133</v>
      </c>
      <c r="O52" t="n">
        <v>126</v>
      </c>
      <c r="P52" t="n">
        <v>126</v>
      </c>
      <c r="Q52" t="n">
        <v>139</v>
      </c>
      <c r="R52" t="n">
        <v>131</v>
      </c>
      <c r="S52" t="n">
        <v>127</v>
      </c>
      <c r="T52" t="n">
        <v>139</v>
      </c>
      <c r="U52" t="n">
        <v>127</v>
      </c>
      <c r="V52" t="n">
        <v>0</v>
      </c>
      <c r="W52" t="n">
        <v>56</v>
      </c>
      <c r="X52" t="n">
        <v>17</v>
      </c>
      <c r="Y52" t="n">
        <v>0</v>
      </c>
      <c r="Z52" t="n">
        <v>48</v>
      </c>
      <c r="AA52" t="n">
        <v>15</v>
      </c>
      <c r="AB52" t="n">
        <v>121</v>
      </c>
      <c r="AC52" t="n">
        <v>136</v>
      </c>
      <c r="AD52" t="n">
        <v>128</v>
      </c>
      <c r="AE52" t="n">
        <v>123</v>
      </c>
      <c r="AF52" t="n">
        <v>137</v>
      </c>
      <c r="AG52" t="n">
        <v>126</v>
      </c>
      <c r="AH52" t="n">
        <v>126</v>
      </c>
      <c r="AI52" t="n">
        <v>138</v>
      </c>
      <c r="AJ52" t="n">
        <v>126</v>
      </c>
      <c r="AK52">
        <f>HYPERLINK("file:///home/hermansyah/Aplikasi%20TA/data/rgbdaun/46.png","LINK")</f>
        <v/>
      </c>
      <c r="AL52" t="n">
        <v>11</v>
      </c>
      <c r="AM52" t="n">
        <v>10</v>
      </c>
      <c r="AN52">
        <f>HYPERLINK("file:///home/hermansyah/Aplikasi%20TA/data/kelilingdaun/46_atas.png","LINK")</f>
        <v/>
      </c>
      <c r="AO52">
        <f>HYPERLINK("file:///home/hermansyah/Aplikasi%20TA/data/kelilingdaun/46_bawah.png","LINK")</f>
        <v/>
      </c>
      <c r="AP52" t="n">
        <v>0.9938109684227905</v>
      </c>
      <c r="AQ52" t="n">
        <v>0.7330066837290872</v>
      </c>
      <c r="AR52" t="n">
        <v>2.193010503326497e-06</v>
      </c>
      <c r="AS52" t="n">
        <v>2</v>
      </c>
      <c r="AT52" t="n">
        <v>2</v>
      </c>
      <c r="AU52" t="n">
        <v>1</v>
      </c>
    </row>
    <row r="53" spans="1:47">
      <c r="A53" t="n">
        <v>47</v>
      </c>
      <c r="B53" t="s">
        <v>76</v>
      </c>
      <c r="C53" t="n">
        <v>1.6</v>
      </c>
      <c r="D53" t="n">
        <v>1.4</v>
      </c>
      <c r="E53">
        <f>HYPERLINK("file:///home/hermansyah/Aplikasi%20TA/data/luasdaun/47_atas.png","LINK")</f>
        <v/>
      </c>
      <c r="F53">
        <f>HYPERLINK("file:///home/hermansyah/Aplikasi%20TA/data/luasdaun/47_bawah.png","LINK")</f>
        <v/>
      </c>
      <c r="G53" t="n">
        <v>0</v>
      </c>
      <c r="H53" t="n">
        <v>49</v>
      </c>
      <c r="I53" t="n">
        <v>17</v>
      </c>
      <c r="J53" t="n">
        <v>0</v>
      </c>
      <c r="K53" t="n">
        <v>44</v>
      </c>
      <c r="L53" t="n">
        <v>18</v>
      </c>
      <c r="M53" t="n">
        <v>121</v>
      </c>
      <c r="N53" t="n">
        <v>136</v>
      </c>
      <c r="O53" t="n">
        <v>132</v>
      </c>
      <c r="P53" t="n">
        <v>126</v>
      </c>
      <c r="Q53" t="n">
        <v>139</v>
      </c>
      <c r="R53" t="n">
        <v>131</v>
      </c>
      <c r="S53" t="n">
        <v>129</v>
      </c>
      <c r="T53" t="n">
        <v>141</v>
      </c>
      <c r="U53" t="n">
        <v>129</v>
      </c>
      <c r="V53" t="n">
        <v>0</v>
      </c>
      <c r="W53" t="n">
        <v>52</v>
      </c>
      <c r="X53" t="n">
        <v>19</v>
      </c>
      <c r="Y53" t="n">
        <v>0</v>
      </c>
      <c r="Z53" t="n">
        <v>43</v>
      </c>
      <c r="AA53" t="n">
        <v>17</v>
      </c>
      <c r="AB53" t="n">
        <v>123</v>
      </c>
      <c r="AC53" t="n">
        <v>135</v>
      </c>
      <c r="AD53" t="n">
        <v>129</v>
      </c>
      <c r="AE53" t="n">
        <v>124</v>
      </c>
      <c r="AF53" t="n">
        <v>137</v>
      </c>
      <c r="AG53" t="n">
        <v>129</v>
      </c>
      <c r="AH53" t="n">
        <v>127</v>
      </c>
      <c r="AI53" t="n">
        <v>139</v>
      </c>
      <c r="AJ53" t="n">
        <v>127</v>
      </c>
      <c r="AK53">
        <f>HYPERLINK("file:///home/hermansyah/Aplikasi%20TA/data/rgbdaun/47.png","LINK")</f>
        <v/>
      </c>
      <c r="AL53" t="n">
        <v>10</v>
      </c>
      <c r="AM53" t="n">
        <v>9</v>
      </c>
      <c r="AN53">
        <f>HYPERLINK("file:///home/hermansyah/Aplikasi%20TA/data/kelilingdaun/47_atas.png","LINK")</f>
        <v/>
      </c>
      <c r="AO53">
        <f>HYPERLINK("file:///home/hermansyah/Aplikasi%20TA/data/kelilingdaun/47_bawah.png","LINK")</f>
        <v/>
      </c>
      <c r="AP53" t="n">
        <v>0.9958861396527676</v>
      </c>
      <c r="AQ53" t="n">
        <v>0.7399560061909862</v>
      </c>
      <c r="AR53" t="n">
        <v>2.194066437221134e-06</v>
      </c>
      <c r="AS53" t="n">
        <v>2</v>
      </c>
      <c r="AT53" t="n">
        <v>2</v>
      </c>
      <c r="AU53" t="n">
        <v>2</v>
      </c>
    </row>
    <row r="54" spans="1:47">
      <c r="A54" t="n">
        <v>48</v>
      </c>
      <c r="B54" t="s">
        <v>77</v>
      </c>
      <c r="C54" t="n">
        <v>1.4</v>
      </c>
      <c r="D54" t="n">
        <v>1.6</v>
      </c>
      <c r="E54">
        <f>HYPERLINK("file:///home/hermansyah/Aplikasi%20TA/data/luasdaun/48_atas.png","LINK")</f>
        <v/>
      </c>
      <c r="F54">
        <f>HYPERLINK("file:///home/hermansyah/Aplikasi%20TA/data/luasdaun/48_bawah.png","LINK")</f>
        <v/>
      </c>
      <c r="G54" t="n">
        <v>0</v>
      </c>
      <c r="H54" t="n">
        <v>47</v>
      </c>
      <c r="I54" t="n">
        <v>9</v>
      </c>
      <c r="J54" t="n">
        <v>0</v>
      </c>
      <c r="K54" t="n">
        <v>51</v>
      </c>
      <c r="L54" t="n">
        <v>18</v>
      </c>
      <c r="M54" t="n">
        <v>0</v>
      </c>
      <c r="N54" t="n">
        <v>74</v>
      </c>
      <c r="O54" t="n">
        <v>52</v>
      </c>
      <c r="P54" t="n">
        <v>125</v>
      </c>
      <c r="Q54" t="n">
        <v>139</v>
      </c>
      <c r="R54" t="n">
        <v>128</v>
      </c>
      <c r="S54" t="n">
        <v>127</v>
      </c>
      <c r="T54" t="n">
        <v>139</v>
      </c>
      <c r="U54" t="n">
        <v>127</v>
      </c>
      <c r="V54" t="n">
        <v>0</v>
      </c>
      <c r="W54" t="n">
        <v>50</v>
      </c>
      <c r="X54" t="n">
        <v>13</v>
      </c>
      <c r="Y54" t="n">
        <v>0</v>
      </c>
      <c r="Z54" t="n">
        <v>49</v>
      </c>
      <c r="AA54" t="n">
        <v>17</v>
      </c>
      <c r="AB54" t="n">
        <v>122</v>
      </c>
      <c r="AC54" t="n">
        <v>135</v>
      </c>
      <c r="AD54" t="n">
        <v>127</v>
      </c>
      <c r="AE54" t="n">
        <v>125</v>
      </c>
      <c r="AF54" t="n">
        <v>136</v>
      </c>
      <c r="AG54" t="n">
        <v>126</v>
      </c>
      <c r="AH54" t="n">
        <v>127</v>
      </c>
      <c r="AI54" t="n">
        <v>139</v>
      </c>
      <c r="AJ54" t="n">
        <v>127</v>
      </c>
      <c r="AK54">
        <f>HYPERLINK("file:///home/hermansyah/Aplikasi%20TA/data/rgbdaun/48.png","LINK")</f>
        <v/>
      </c>
      <c r="AL54" t="n">
        <v>11</v>
      </c>
      <c r="AM54" t="n">
        <v>10</v>
      </c>
      <c r="AN54">
        <f>HYPERLINK("file:///home/hermansyah/Aplikasi%20TA/data/kelilingdaun/48_atas.png","LINK")</f>
        <v/>
      </c>
      <c r="AO54">
        <f>HYPERLINK("file:///home/hermansyah/Aplikasi%20TA/data/kelilingdaun/48_bawah.png","LINK")</f>
        <v/>
      </c>
      <c r="AP54" t="n">
        <v>0.9909461718447676</v>
      </c>
      <c r="AQ54" t="n">
        <v>0.7330066837290872</v>
      </c>
      <c r="AR54" t="n">
        <v>0.1169194149650763</v>
      </c>
      <c r="AS54" t="n">
        <v>2</v>
      </c>
      <c r="AT54" t="n">
        <v>2</v>
      </c>
      <c r="AU54" t="n">
        <v>2</v>
      </c>
    </row>
    <row r="55" spans="1:47">
      <c r="A55" t="n">
        <v>49</v>
      </c>
      <c r="B55" t="s">
        <v>78</v>
      </c>
      <c r="C55" t="n">
        <v>2.3</v>
      </c>
      <c r="D55" t="n">
        <v>2.1</v>
      </c>
      <c r="E55">
        <f>HYPERLINK("file:///home/hermansyah/Aplikasi%20TA/data/luasdaun/49_atas.png","LINK")</f>
        <v/>
      </c>
      <c r="F55">
        <f>HYPERLINK("file:///home/hermansyah/Aplikasi%20TA/data/luasdaun/49_bawah.png","LINK")</f>
        <v/>
      </c>
      <c r="G55" t="n">
        <v>0</v>
      </c>
      <c r="H55" t="n">
        <v>55</v>
      </c>
      <c r="I55" t="n">
        <v>12</v>
      </c>
      <c r="J55" t="n">
        <v>2</v>
      </c>
      <c r="K55" t="n">
        <v>55</v>
      </c>
      <c r="L55" t="n">
        <v>22</v>
      </c>
      <c r="M55" t="n">
        <v>2</v>
      </c>
      <c r="N55" t="n">
        <v>70</v>
      </c>
      <c r="O55" t="n">
        <v>39</v>
      </c>
      <c r="P55" t="n">
        <v>122</v>
      </c>
      <c r="Q55" t="n">
        <v>137</v>
      </c>
      <c r="R55" t="n">
        <v>129</v>
      </c>
      <c r="S55" t="n">
        <v>124</v>
      </c>
      <c r="T55" t="n">
        <v>138</v>
      </c>
      <c r="U55" t="n">
        <v>126</v>
      </c>
      <c r="V55" t="n">
        <v>0</v>
      </c>
      <c r="W55" t="n">
        <v>51</v>
      </c>
      <c r="X55" t="n">
        <v>12</v>
      </c>
      <c r="Y55" t="n">
        <v>0</v>
      </c>
      <c r="Z55" t="n">
        <v>47</v>
      </c>
      <c r="AA55" t="n">
        <v>15</v>
      </c>
      <c r="AB55" t="n">
        <v>1</v>
      </c>
      <c r="AC55" t="n">
        <v>68</v>
      </c>
      <c r="AD55" t="n">
        <v>39</v>
      </c>
      <c r="AE55" t="n">
        <v>122</v>
      </c>
      <c r="AF55" t="n">
        <v>136</v>
      </c>
      <c r="AG55" t="n">
        <v>125</v>
      </c>
      <c r="AH55" t="n">
        <v>125</v>
      </c>
      <c r="AI55" t="n">
        <v>138</v>
      </c>
      <c r="AJ55" t="n">
        <v>124</v>
      </c>
      <c r="AK55">
        <f>HYPERLINK("file:///home/hermansyah/Aplikasi%20TA/data/rgbdaun/49.png","LINK")</f>
        <v/>
      </c>
      <c r="AL55" t="n">
        <v>11</v>
      </c>
      <c r="AM55" t="n">
        <v>10</v>
      </c>
      <c r="AN55">
        <f>HYPERLINK("file:///home/hermansyah/Aplikasi%20TA/data/kelilingdaun/49_atas.png","LINK")</f>
        <v/>
      </c>
      <c r="AO55">
        <f>HYPERLINK("file:///home/hermansyah/Aplikasi%20TA/data/kelilingdaun/49_bawah.png","LINK")</f>
        <v/>
      </c>
      <c r="AP55" t="n">
        <v>0.9903595015066223</v>
      </c>
      <c r="AQ55" t="n">
        <v>0.7330066837290872</v>
      </c>
      <c r="AR55" t="n">
        <v>0.03662896134911265</v>
      </c>
      <c r="AS55" t="n">
        <v>2</v>
      </c>
      <c r="AT55" t="n">
        <v>2</v>
      </c>
      <c r="AU55" t="n">
        <v>2</v>
      </c>
    </row>
    <row r="56" spans="1:47">
      <c r="A56" t="n">
        <v>50</v>
      </c>
      <c r="B56" t="s">
        <v>79</v>
      </c>
      <c r="C56" t="n">
        <v>2.6</v>
      </c>
      <c r="D56" t="n">
        <v>2.3</v>
      </c>
      <c r="E56">
        <f>HYPERLINK("file:///home/hermansyah/Aplikasi%20TA/data/luasdaun/50_atas.png","LINK")</f>
        <v/>
      </c>
      <c r="F56">
        <f>HYPERLINK("file:///home/hermansyah/Aplikasi%20TA/data/luasdaun/50_bawah.png","LINK")</f>
        <v/>
      </c>
      <c r="G56" t="n">
        <v>0</v>
      </c>
      <c r="H56" t="n">
        <v>59</v>
      </c>
      <c r="I56" t="n">
        <v>25</v>
      </c>
      <c r="J56" t="n">
        <v>1</v>
      </c>
      <c r="K56" t="n">
        <v>60</v>
      </c>
      <c r="L56" t="n">
        <v>32</v>
      </c>
      <c r="M56" t="n">
        <v>0</v>
      </c>
      <c r="N56" t="n">
        <v>59</v>
      </c>
      <c r="O56" t="n">
        <v>33</v>
      </c>
      <c r="P56" t="n">
        <v>102</v>
      </c>
      <c r="Q56" t="n">
        <v>127</v>
      </c>
      <c r="R56" t="n">
        <v>117</v>
      </c>
      <c r="S56" t="n">
        <v>126</v>
      </c>
      <c r="T56" t="n">
        <v>140</v>
      </c>
      <c r="U56" t="n">
        <v>129</v>
      </c>
      <c r="V56" t="n">
        <v>0</v>
      </c>
      <c r="W56" t="n">
        <v>61</v>
      </c>
      <c r="X56" t="n">
        <v>29</v>
      </c>
      <c r="Y56" t="n">
        <v>0</v>
      </c>
      <c r="Z56" t="n">
        <v>54</v>
      </c>
      <c r="AA56" t="n">
        <v>25</v>
      </c>
      <c r="AB56" t="n">
        <v>0</v>
      </c>
      <c r="AC56" t="n">
        <v>64</v>
      </c>
      <c r="AD56" t="n">
        <v>39</v>
      </c>
      <c r="AE56" t="n">
        <v>120</v>
      </c>
      <c r="AF56" t="n">
        <v>135</v>
      </c>
      <c r="AG56" t="n">
        <v>127</v>
      </c>
      <c r="AH56" t="n">
        <v>124</v>
      </c>
      <c r="AI56" t="n">
        <v>138</v>
      </c>
      <c r="AJ56" t="n">
        <v>126</v>
      </c>
      <c r="AK56">
        <f>HYPERLINK("file:///home/hermansyah/Aplikasi%20TA/data/rgbdaun/50.png","LINK")</f>
        <v/>
      </c>
      <c r="AL56" t="n">
        <v>14</v>
      </c>
      <c r="AM56" t="n">
        <v>11</v>
      </c>
      <c r="AN56">
        <f>HYPERLINK("file:///home/hermansyah/Aplikasi%20TA/data/kelilingdaun/50_atas.png","LINK")</f>
        <v/>
      </c>
      <c r="AO56">
        <f>HYPERLINK("file:///home/hermansyah/Aplikasi%20TA/data/kelilingdaun/50_bawah.png","LINK")</f>
        <v/>
      </c>
      <c r="AP56" t="n">
        <v>0.9903557741659315</v>
      </c>
      <c r="AQ56" t="n">
        <v>0.713999856846544</v>
      </c>
      <c r="AR56" t="n">
        <v>0.03610479340778224</v>
      </c>
      <c r="AS56" t="n">
        <v>2</v>
      </c>
      <c r="AT56" t="n">
        <v>2</v>
      </c>
      <c r="AU56" t="n">
        <v>3</v>
      </c>
    </row>
    <row r="57" spans="1:47">
      <c r="A57" t="n">
        <v>51</v>
      </c>
      <c r="B57" t="s">
        <v>80</v>
      </c>
      <c r="C57" t="n">
        <v>1.4</v>
      </c>
      <c r="D57" t="n">
        <v>1.5</v>
      </c>
      <c r="E57">
        <f>HYPERLINK("file:///home/hermansyah/Aplikasi%20TA/data/luasdaun/51_atas.png","LINK")</f>
        <v/>
      </c>
      <c r="F57">
        <f>HYPERLINK("file:///home/hermansyah/Aplikasi%20TA/data/luasdaun/51_bawah.png","LINK")</f>
        <v/>
      </c>
      <c r="G57" t="n">
        <v>0</v>
      </c>
      <c r="H57" t="n">
        <v>58</v>
      </c>
      <c r="I57" t="n">
        <v>24</v>
      </c>
      <c r="J57" t="n">
        <v>0</v>
      </c>
      <c r="K57" t="n">
        <v>59</v>
      </c>
      <c r="L57" t="n">
        <v>33</v>
      </c>
      <c r="M57" t="n">
        <v>110</v>
      </c>
      <c r="N57" t="n">
        <v>128</v>
      </c>
      <c r="O57" t="n">
        <v>121</v>
      </c>
      <c r="P57" t="n">
        <v>124</v>
      </c>
      <c r="Q57" t="n">
        <v>139</v>
      </c>
      <c r="R57" t="n">
        <v>131</v>
      </c>
      <c r="S57" t="n">
        <v>127</v>
      </c>
      <c r="T57" t="n">
        <v>141</v>
      </c>
      <c r="U57" t="n">
        <v>130</v>
      </c>
      <c r="V57" t="n">
        <v>0</v>
      </c>
      <c r="W57" t="n">
        <v>55</v>
      </c>
      <c r="X57" t="n">
        <v>20</v>
      </c>
      <c r="Y57" t="n">
        <v>0</v>
      </c>
      <c r="Z57" t="n">
        <v>60</v>
      </c>
      <c r="AA57" t="n">
        <v>34</v>
      </c>
      <c r="AB57" t="n">
        <v>118</v>
      </c>
      <c r="AC57" t="n">
        <v>132</v>
      </c>
      <c r="AD57" t="n">
        <v>126</v>
      </c>
      <c r="AE57" t="n">
        <v>124</v>
      </c>
      <c r="AF57" t="n">
        <v>137</v>
      </c>
      <c r="AG57" t="n">
        <v>129</v>
      </c>
      <c r="AH57" t="n">
        <v>127</v>
      </c>
      <c r="AI57" t="n">
        <v>139</v>
      </c>
      <c r="AJ57" t="n">
        <v>127</v>
      </c>
      <c r="AK57">
        <f>HYPERLINK("file:///home/hermansyah/Aplikasi%20TA/data/rgbdaun/51.png","LINK")</f>
        <v/>
      </c>
      <c r="AL57" t="n">
        <v>10</v>
      </c>
      <c r="AM57" t="n">
        <v>10</v>
      </c>
      <c r="AN57">
        <f>HYPERLINK("file:///home/hermansyah/Aplikasi%20TA/data/kelilingdaun/51_atas.png","LINK")</f>
        <v/>
      </c>
      <c r="AO57">
        <f>HYPERLINK("file:///home/hermansyah/Aplikasi%20TA/data/kelilingdaun/51_bawah.png","LINK")</f>
        <v/>
      </c>
      <c r="AP57" t="n">
        <v>0.9922372142290935</v>
      </c>
      <c r="AQ57" t="n">
        <v>0.9220509503612092</v>
      </c>
      <c r="AR57" t="n">
        <v>2.114173442392693e-06</v>
      </c>
      <c r="AS57" t="n">
        <v>2</v>
      </c>
      <c r="AT57" t="n">
        <v>2</v>
      </c>
      <c r="AU57" t="n">
        <v>0</v>
      </c>
    </row>
    <row r="58" spans="1:47">
      <c r="A58" t="n">
        <v>52</v>
      </c>
      <c r="B58" t="s">
        <v>81</v>
      </c>
      <c r="C58" t="n">
        <v>4.3</v>
      </c>
      <c r="D58" t="n">
        <v>3.9</v>
      </c>
      <c r="E58">
        <f>HYPERLINK("file:///home/hermansyah/Aplikasi%20TA/data/luasdaun/52_atas.png","LINK")</f>
        <v/>
      </c>
      <c r="F58">
        <f>HYPERLINK("file:///home/hermansyah/Aplikasi%20TA/data/luasdaun/52_bawah.png","LINK")</f>
        <v/>
      </c>
      <c r="G58" t="n">
        <v>0</v>
      </c>
      <c r="H58" t="n">
        <v>36</v>
      </c>
      <c r="I58" t="n">
        <v>14</v>
      </c>
      <c r="J58" t="n">
        <v>0</v>
      </c>
      <c r="K58" t="n">
        <v>38</v>
      </c>
      <c r="L58" t="n">
        <v>20</v>
      </c>
      <c r="M58" t="n">
        <v>0</v>
      </c>
      <c r="N58" t="n">
        <v>35</v>
      </c>
      <c r="O58" t="n">
        <v>19</v>
      </c>
      <c r="P58" t="n">
        <v>4</v>
      </c>
      <c r="Q58" t="n">
        <v>44</v>
      </c>
      <c r="R58" t="n">
        <v>26</v>
      </c>
      <c r="S58" t="n">
        <v>0</v>
      </c>
      <c r="T58" t="n">
        <v>39</v>
      </c>
      <c r="U58" t="n">
        <v>18</v>
      </c>
      <c r="V58" t="n">
        <v>0</v>
      </c>
      <c r="W58" t="n">
        <v>35</v>
      </c>
      <c r="X58" t="n">
        <v>15</v>
      </c>
      <c r="Y58" t="n">
        <v>0</v>
      </c>
      <c r="Z58" t="n">
        <v>34</v>
      </c>
      <c r="AA58" t="n">
        <v>16</v>
      </c>
      <c r="AB58" t="n">
        <v>0</v>
      </c>
      <c r="AC58" t="n">
        <v>35</v>
      </c>
      <c r="AD58" t="n">
        <v>19</v>
      </c>
      <c r="AE58" t="n">
        <v>0</v>
      </c>
      <c r="AF58" t="n">
        <v>40</v>
      </c>
      <c r="AG58" t="n">
        <v>19</v>
      </c>
      <c r="AH58" t="n">
        <v>93</v>
      </c>
      <c r="AI58" t="n">
        <v>110</v>
      </c>
      <c r="AJ58" t="n">
        <v>99</v>
      </c>
      <c r="AK58">
        <f>HYPERLINK("file:///home/hermansyah/Aplikasi%20TA/data/rgbdaun/52.png","LINK")</f>
        <v/>
      </c>
      <c r="AL58" t="n">
        <v>17</v>
      </c>
      <c r="AM58" t="n">
        <v>15</v>
      </c>
      <c r="AN58">
        <f>HYPERLINK("file:///home/hermansyah/Aplikasi%20TA/data/kelilingdaun/52_atas.png","LINK")</f>
        <v/>
      </c>
      <c r="AO58">
        <f>HYPERLINK("file:///home/hermansyah/Aplikasi%20TA/data/kelilingdaun/52_bawah.png","LINK")</f>
        <v/>
      </c>
      <c r="AP58" t="n">
        <v>0.9903552492658646</v>
      </c>
      <c r="AQ58" t="n">
        <v>0.7153446329944174</v>
      </c>
      <c r="AR58" t="n">
        <v>0.03350707092122743</v>
      </c>
      <c r="AS58" t="n">
        <v>4</v>
      </c>
      <c r="AT58" t="n">
        <v>4</v>
      </c>
      <c r="AU58" t="n">
        <v>3</v>
      </c>
    </row>
    <row r="59" spans="1:47">
      <c r="A59" t="n">
        <v>53</v>
      </c>
      <c r="B59" t="s">
        <v>82</v>
      </c>
      <c r="C59" t="n">
        <v>2.4</v>
      </c>
      <c r="D59" t="n">
        <v>2.5</v>
      </c>
      <c r="E59">
        <f>HYPERLINK("file:///home/hermansyah/Aplikasi%20TA/data/luasdaun/53_atas.png","LINK")</f>
        <v/>
      </c>
      <c r="F59">
        <f>HYPERLINK("file:///home/hermansyah/Aplikasi%20TA/data/luasdaun/53_bawah.png","LINK")</f>
        <v/>
      </c>
      <c r="G59" t="n">
        <v>0</v>
      </c>
      <c r="H59" t="n">
        <v>61</v>
      </c>
      <c r="I59" t="n">
        <v>21</v>
      </c>
      <c r="J59" t="n">
        <v>0</v>
      </c>
      <c r="K59" t="n">
        <v>55</v>
      </c>
      <c r="L59" t="n">
        <v>22</v>
      </c>
      <c r="M59" t="n">
        <v>0</v>
      </c>
      <c r="N59" t="n">
        <v>50</v>
      </c>
      <c r="O59" t="n">
        <v>21</v>
      </c>
      <c r="P59" t="n">
        <v>0</v>
      </c>
      <c r="Q59" t="n">
        <v>54</v>
      </c>
      <c r="R59" t="n">
        <v>23</v>
      </c>
      <c r="S59" t="n">
        <v>105</v>
      </c>
      <c r="T59" t="n">
        <v>128</v>
      </c>
      <c r="U59" t="n">
        <v>113</v>
      </c>
      <c r="V59" t="n">
        <v>0</v>
      </c>
      <c r="W59" t="n">
        <v>57</v>
      </c>
      <c r="X59" t="n">
        <v>17</v>
      </c>
      <c r="Y59" t="n">
        <v>0</v>
      </c>
      <c r="Z59" t="n">
        <v>51</v>
      </c>
      <c r="AA59" t="n">
        <v>21</v>
      </c>
      <c r="AB59" t="n">
        <v>0</v>
      </c>
      <c r="AC59" t="n">
        <v>58</v>
      </c>
      <c r="AD59" t="n">
        <v>27</v>
      </c>
      <c r="AE59" t="n">
        <v>113</v>
      </c>
      <c r="AF59" t="n">
        <v>129</v>
      </c>
      <c r="AG59" t="n">
        <v>118</v>
      </c>
      <c r="AH59" t="n">
        <v>120</v>
      </c>
      <c r="AI59" t="n">
        <v>134</v>
      </c>
      <c r="AJ59" t="n">
        <v>122</v>
      </c>
      <c r="AK59">
        <f>HYPERLINK("file:///home/hermansyah/Aplikasi%20TA/data/rgbdaun/53.png","LINK")</f>
        <v/>
      </c>
      <c r="AL59" t="n">
        <v>13</v>
      </c>
      <c r="AM59" t="n">
        <v>12</v>
      </c>
      <c r="AN59">
        <f>HYPERLINK("file:///home/hermansyah/Aplikasi%20TA/data/kelilingdaun/53_atas.png","LINK")</f>
        <v/>
      </c>
      <c r="AO59">
        <f>HYPERLINK("file:///home/hermansyah/Aplikasi%20TA/data/kelilingdaun/53_bawah.png","LINK")</f>
        <v/>
      </c>
      <c r="AP59" t="n">
        <v>0.9903552762024783</v>
      </c>
      <c r="AQ59" t="n">
        <v>0.724230942524199</v>
      </c>
      <c r="AR59" t="n">
        <v>0.03501941385065949</v>
      </c>
      <c r="AS59" t="n">
        <v>3</v>
      </c>
      <c r="AT59" t="n">
        <v>3</v>
      </c>
      <c r="AU59" t="n">
        <v>3</v>
      </c>
    </row>
    <row r="60" spans="1:47">
      <c r="A60" t="n">
        <v>54</v>
      </c>
      <c r="B60" t="s">
        <v>83</v>
      </c>
      <c r="C60" t="n">
        <v>3.7</v>
      </c>
      <c r="D60" t="n">
        <v>2</v>
      </c>
      <c r="E60">
        <f>HYPERLINK("file:///home/hermansyah/Aplikasi%20TA/data/luasdaun/54_atas.png","LINK")</f>
        <v/>
      </c>
      <c r="F60">
        <f>HYPERLINK("file:///home/hermansyah/Aplikasi%20TA/data/luasdaun/54_bawah.png","LINK")</f>
        <v/>
      </c>
      <c r="G60" t="n">
        <v>0</v>
      </c>
      <c r="H60" t="n">
        <v>49</v>
      </c>
      <c r="I60" t="n">
        <v>17</v>
      </c>
      <c r="J60" t="n">
        <v>0</v>
      </c>
      <c r="K60" t="n">
        <v>45</v>
      </c>
      <c r="L60" t="n">
        <v>17</v>
      </c>
      <c r="M60" t="n">
        <v>0</v>
      </c>
      <c r="N60" t="n">
        <v>59</v>
      </c>
      <c r="O60" t="n">
        <v>31</v>
      </c>
      <c r="P60" t="n">
        <v>0</v>
      </c>
      <c r="Q60" t="n">
        <v>65</v>
      </c>
      <c r="R60" t="n">
        <v>40</v>
      </c>
      <c r="S60" t="n">
        <v>121</v>
      </c>
      <c r="T60" t="n">
        <v>138</v>
      </c>
      <c r="U60" t="n">
        <v>125</v>
      </c>
      <c r="V60" t="n">
        <v>0</v>
      </c>
      <c r="W60" t="n">
        <v>53</v>
      </c>
      <c r="X60" t="n">
        <v>18</v>
      </c>
      <c r="Y60" t="n">
        <v>0</v>
      </c>
      <c r="Z60" t="n">
        <v>59</v>
      </c>
      <c r="AA60" t="n">
        <v>29</v>
      </c>
      <c r="AB60" t="n">
        <v>0</v>
      </c>
      <c r="AC60" t="n">
        <v>62</v>
      </c>
      <c r="AD60" t="n">
        <v>36</v>
      </c>
      <c r="AE60" t="n">
        <v>115</v>
      </c>
      <c r="AF60" t="n">
        <v>132</v>
      </c>
      <c r="AG60" t="n">
        <v>123</v>
      </c>
      <c r="AH60" t="n">
        <v>121</v>
      </c>
      <c r="AI60" t="n">
        <v>135</v>
      </c>
      <c r="AJ60" t="n">
        <v>124</v>
      </c>
      <c r="AK60">
        <f>HYPERLINK("file:///home/hermansyah/Aplikasi%20TA/data/rgbdaun/54.png","LINK")</f>
        <v/>
      </c>
      <c r="AL60" t="n">
        <v>16</v>
      </c>
      <c r="AM60" t="n">
        <v>11</v>
      </c>
      <c r="AN60">
        <f>HYPERLINK("file:///home/hermansyah/Aplikasi%20TA/data/kelilingdaun/54_atas.png","LINK")</f>
        <v/>
      </c>
      <c r="AO60">
        <f>HYPERLINK("file:///home/hermansyah/Aplikasi%20TA/data/kelilingdaun/54_bawah.png","LINK")</f>
        <v/>
      </c>
      <c r="AP60" t="n">
        <v>0.9904953374782675</v>
      </c>
      <c r="AQ60" t="n">
        <v>0.714467144349556</v>
      </c>
      <c r="AR60" t="n">
        <v>0.03340538459358857</v>
      </c>
      <c r="AS60" t="n">
        <v>3</v>
      </c>
      <c r="AT60" t="n">
        <v>3</v>
      </c>
      <c r="AU60" t="n">
        <v>3</v>
      </c>
    </row>
    <row r="61" spans="1:47">
      <c r="A61" t="n">
        <v>55</v>
      </c>
      <c r="B61" t="s">
        <v>84</v>
      </c>
      <c r="C61" t="n">
        <v>3.2</v>
      </c>
      <c r="D61" t="n">
        <v>3.1</v>
      </c>
      <c r="E61">
        <f>HYPERLINK("file:///home/hermansyah/Aplikasi%20TA/data/luasdaun/55_atas.png","LINK")</f>
        <v/>
      </c>
      <c r="F61">
        <f>HYPERLINK("file:///home/hermansyah/Aplikasi%20TA/data/luasdaun/55_bawah.png","LINK")</f>
        <v/>
      </c>
      <c r="G61" t="n">
        <v>0</v>
      </c>
      <c r="H61" t="n">
        <v>51</v>
      </c>
      <c r="I61" t="n">
        <v>16</v>
      </c>
      <c r="J61" t="n">
        <v>0</v>
      </c>
      <c r="K61" t="n">
        <v>47</v>
      </c>
      <c r="L61" t="n">
        <v>20</v>
      </c>
      <c r="M61" t="n">
        <v>0</v>
      </c>
      <c r="N61" t="n">
        <v>58</v>
      </c>
      <c r="O61" t="n">
        <v>30</v>
      </c>
      <c r="P61" t="n">
        <v>0</v>
      </c>
      <c r="Q61" t="n">
        <v>61</v>
      </c>
      <c r="R61" t="n">
        <v>35</v>
      </c>
      <c r="S61" t="n">
        <v>115</v>
      </c>
      <c r="T61" t="n">
        <v>133</v>
      </c>
      <c r="U61" t="n">
        <v>120</v>
      </c>
      <c r="V61" t="n">
        <v>0</v>
      </c>
      <c r="W61" t="n">
        <v>51</v>
      </c>
      <c r="X61" t="n">
        <v>18</v>
      </c>
      <c r="Y61" t="n">
        <v>0</v>
      </c>
      <c r="Z61" t="n">
        <v>53</v>
      </c>
      <c r="AA61" t="n">
        <v>24</v>
      </c>
      <c r="AB61" t="n">
        <v>0</v>
      </c>
      <c r="AC61" t="n">
        <v>51</v>
      </c>
      <c r="AD61" t="n">
        <v>24</v>
      </c>
      <c r="AE61" t="n">
        <v>95</v>
      </c>
      <c r="AF61" t="n">
        <v>114</v>
      </c>
      <c r="AG61" t="n">
        <v>105</v>
      </c>
      <c r="AH61" t="n">
        <v>118</v>
      </c>
      <c r="AI61" t="n">
        <v>132</v>
      </c>
      <c r="AJ61" t="n">
        <v>120</v>
      </c>
      <c r="AK61">
        <f>HYPERLINK("file:///home/hermansyah/Aplikasi%20TA/data/rgbdaun/55.png","LINK")</f>
        <v/>
      </c>
      <c r="AL61" t="n">
        <v>16</v>
      </c>
      <c r="AM61" t="n">
        <v>14</v>
      </c>
      <c r="AN61">
        <f>HYPERLINK("file:///home/hermansyah/Aplikasi%20TA/data/kelilingdaun/55_atas.png","LINK")</f>
        <v/>
      </c>
      <c r="AO61">
        <f>HYPERLINK("file:///home/hermansyah/Aplikasi%20TA/data/kelilingdaun/55_bawah.png","LINK")</f>
        <v/>
      </c>
      <c r="AP61" t="n">
        <v>0.9903552492122771</v>
      </c>
      <c r="AQ61" t="n">
        <v>0.7151589439815479</v>
      </c>
      <c r="AR61" t="n">
        <v>0.03288106684233393</v>
      </c>
      <c r="AS61" t="n">
        <v>3</v>
      </c>
      <c r="AT61" t="n">
        <v>4</v>
      </c>
      <c r="AU61" t="n">
        <v>3</v>
      </c>
    </row>
    <row r="62" spans="1:47">
      <c r="A62" t="n">
        <v>56</v>
      </c>
      <c r="B62" t="s">
        <v>85</v>
      </c>
      <c r="C62" t="n">
        <v>3</v>
      </c>
      <c r="D62" t="n">
        <v>2.8</v>
      </c>
      <c r="E62">
        <f>HYPERLINK("file:///home/hermansyah/Aplikasi%20TA/data/luasdaun/56_atas.png","LINK")</f>
        <v/>
      </c>
      <c r="F62">
        <f>HYPERLINK("file:///home/hermansyah/Aplikasi%20TA/data/luasdaun/56_bawah.png","LINK")</f>
        <v/>
      </c>
      <c r="G62" t="n">
        <v>0</v>
      </c>
      <c r="H62" t="n">
        <v>57</v>
      </c>
      <c r="I62" t="n">
        <v>19</v>
      </c>
      <c r="J62" t="n">
        <v>0</v>
      </c>
      <c r="K62" t="n">
        <v>53</v>
      </c>
      <c r="L62" t="n">
        <v>20</v>
      </c>
      <c r="M62" t="n">
        <v>0</v>
      </c>
      <c r="N62" t="n">
        <v>53</v>
      </c>
      <c r="O62" t="n">
        <v>24</v>
      </c>
      <c r="P62" t="n">
        <v>0</v>
      </c>
      <c r="Q62" t="n">
        <v>65</v>
      </c>
      <c r="R62" t="n">
        <v>39</v>
      </c>
      <c r="S62" t="n">
        <v>121</v>
      </c>
      <c r="T62" t="n">
        <v>135</v>
      </c>
      <c r="U62" t="n">
        <v>123</v>
      </c>
      <c r="V62" t="n">
        <v>0</v>
      </c>
      <c r="W62" t="n">
        <v>51</v>
      </c>
      <c r="X62" t="n">
        <v>14</v>
      </c>
      <c r="Y62" t="n">
        <v>2</v>
      </c>
      <c r="Z62" t="n">
        <v>53</v>
      </c>
      <c r="AA62" t="n">
        <v>25</v>
      </c>
      <c r="AB62" t="n">
        <v>0</v>
      </c>
      <c r="AC62" t="n">
        <v>63</v>
      </c>
      <c r="AD62" t="n">
        <v>37</v>
      </c>
      <c r="AE62" t="n">
        <v>112</v>
      </c>
      <c r="AF62" t="n">
        <v>127</v>
      </c>
      <c r="AG62" t="n">
        <v>119</v>
      </c>
      <c r="AH62" t="n">
        <v>119</v>
      </c>
      <c r="AI62" t="n">
        <v>133</v>
      </c>
      <c r="AJ62" t="n">
        <v>121</v>
      </c>
      <c r="AK62">
        <f>HYPERLINK("file:///home/hermansyah/Aplikasi%20TA/data/rgbdaun/56.png","LINK")</f>
        <v/>
      </c>
      <c r="AL62" t="n">
        <v>15</v>
      </c>
      <c r="AM62" t="n">
        <v>12</v>
      </c>
      <c r="AN62">
        <f>HYPERLINK("file:///home/hermansyah/Aplikasi%20TA/data/kelilingdaun/56_atas.png","LINK")</f>
        <v/>
      </c>
      <c r="AO62">
        <f>HYPERLINK("file:///home/hermansyah/Aplikasi%20TA/data/kelilingdaun/56_bawah.png","LINK")</f>
        <v/>
      </c>
      <c r="AP62" t="n">
        <v>0.9903552505036858</v>
      </c>
      <c r="AQ62" t="n">
        <v>0.7145666201942824</v>
      </c>
      <c r="AR62" t="n">
        <v>0.035597810037356</v>
      </c>
      <c r="AS62" t="n">
        <v>3</v>
      </c>
      <c r="AT62" t="n">
        <v>3</v>
      </c>
      <c r="AU62" t="n">
        <v>3</v>
      </c>
    </row>
    <row r="63" spans="1:47">
      <c r="A63" t="n">
        <v>57</v>
      </c>
      <c r="B63" t="s">
        <v>86</v>
      </c>
      <c r="C63" t="n">
        <v>3.2</v>
      </c>
      <c r="D63" t="n">
        <v>2.8</v>
      </c>
      <c r="E63">
        <f>HYPERLINK("file:///home/hermansyah/Aplikasi%20TA/data/luasdaun/57_atas.png","LINK")</f>
        <v/>
      </c>
      <c r="F63">
        <f>HYPERLINK("file:///home/hermansyah/Aplikasi%20TA/data/luasdaun/57_bawah.png","LINK")</f>
        <v/>
      </c>
      <c r="G63" t="n">
        <v>0</v>
      </c>
      <c r="H63" t="n">
        <v>43</v>
      </c>
      <c r="I63" t="n">
        <v>10</v>
      </c>
      <c r="J63" t="n">
        <v>0</v>
      </c>
      <c r="K63" t="n">
        <v>44</v>
      </c>
      <c r="L63" t="n">
        <v>15</v>
      </c>
      <c r="M63" t="n">
        <v>0</v>
      </c>
      <c r="N63" t="n">
        <v>42</v>
      </c>
      <c r="O63" t="n">
        <v>15</v>
      </c>
      <c r="P63" t="n">
        <v>0</v>
      </c>
      <c r="Q63" t="n">
        <v>48</v>
      </c>
      <c r="R63" t="n">
        <v>18</v>
      </c>
      <c r="S63" t="n">
        <v>67</v>
      </c>
      <c r="T63" t="n">
        <v>111</v>
      </c>
      <c r="U63" t="n">
        <v>94</v>
      </c>
      <c r="V63" t="n">
        <v>0</v>
      </c>
      <c r="W63" t="n">
        <v>40</v>
      </c>
      <c r="X63" t="n">
        <v>9</v>
      </c>
      <c r="Y63" t="n">
        <v>0</v>
      </c>
      <c r="Z63" t="n">
        <v>40</v>
      </c>
      <c r="AA63" t="n">
        <v>13</v>
      </c>
      <c r="AB63" t="n">
        <v>0</v>
      </c>
      <c r="AC63" t="n">
        <v>47</v>
      </c>
      <c r="AD63" t="n">
        <v>19</v>
      </c>
      <c r="AE63" t="n">
        <v>0</v>
      </c>
      <c r="AF63" t="n">
        <v>59</v>
      </c>
      <c r="AG63" t="n">
        <v>25</v>
      </c>
      <c r="AH63" t="n">
        <v>116</v>
      </c>
      <c r="AI63" t="n">
        <v>131</v>
      </c>
      <c r="AJ63" t="n">
        <v>117</v>
      </c>
      <c r="AK63">
        <f>HYPERLINK("file:///home/hermansyah/Aplikasi%20TA/data/rgbdaun/57.png","LINK")</f>
        <v/>
      </c>
      <c r="AL63" t="n">
        <v>15</v>
      </c>
      <c r="AM63" t="n">
        <v>12</v>
      </c>
      <c r="AN63">
        <f>HYPERLINK("file:///home/hermansyah/Aplikasi%20TA/data/kelilingdaun/57_atas.png","LINK")</f>
        <v/>
      </c>
      <c r="AO63">
        <f>HYPERLINK("file:///home/hermansyah/Aplikasi%20TA/data/kelilingdaun/57_bawah.png","LINK")</f>
        <v/>
      </c>
      <c r="AP63" t="n">
        <v>0.9903552512179179</v>
      </c>
      <c r="AQ63" t="n">
        <v>0.7145666201942824</v>
      </c>
      <c r="AR63" t="n">
        <v>0.03586206906284486</v>
      </c>
      <c r="AS63" t="n">
        <v>3</v>
      </c>
      <c r="AT63" t="n">
        <v>3</v>
      </c>
      <c r="AU63" t="n">
        <v>3</v>
      </c>
    </row>
    <row r="64" spans="1:47">
      <c r="A64" t="n">
        <v>58</v>
      </c>
      <c r="B64" t="s">
        <v>87</v>
      </c>
      <c r="C64" t="n">
        <v>3.2</v>
      </c>
      <c r="D64" t="n">
        <v>2.7</v>
      </c>
      <c r="E64">
        <f>HYPERLINK("file:///home/hermansyah/Aplikasi%20TA/data/luasdaun/58_atas.png","LINK")</f>
        <v/>
      </c>
      <c r="F64">
        <f>HYPERLINK("file:///home/hermansyah/Aplikasi%20TA/data/luasdaun/58_bawah.png","LINK")</f>
        <v/>
      </c>
      <c r="G64" t="n">
        <v>0</v>
      </c>
      <c r="H64" t="n">
        <v>47</v>
      </c>
      <c r="I64" t="n">
        <v>9</v>
      </c>
      <c r="J64" t="n">
        <v>0</v>
      </c>
      <c r="K64" t="n">
        <v>51</v>
      </c>
      <c r="L64" t="n">
        <v>16</v>
      </c>
      <c r="M64" t="n">
        <v>0</v>
      </c>
      <c r="N64" t="n">
        <v>52</v>
      </c>
      <c r="O64" t="n">
        <v>19</v>
      </c>
      <c r="P64" t="n">
        <v>1</v>
      </c>
      <c r="Q64" t="n">
        <v>68</v>
      </c>
      <c r="R64" t="n">
        <v>37</v>
      </c>
      <c r="S64" t="n">
        <v>119</v>
      </c>
      <c r="T64" t="n">
        <v>136</v>
      </c>
      <c r="U64" t="n">
        <v>123</v>
      </c>
      <c r="V64" t="n">
        <v>0</v>
      </c>
      <c r="W64" t="n">
        <v>44</v>
      </c>
      <c r="X64" t="n">
        <v>6</v>
      </c>
      <c r="Y64" t="n">
        <v>0</v>
      </c>
      <c r="Z64" t="n">
        <v>55</v>
      </c>
      <c r="AA64" t="n">
        <v>22</v>
      </c>
      <c r="AB64" t="n">
        <v>0</v>
      </c>
      <c r="AC64" t="n">
        <v>62</v>
      </c>
      <c r="AD64" t="n">
        <v>32</v>
      </c>
      <c r="AE64" t="n">
        <v>111</v>
      </c>
      <c r="AF64" t="n">
        <v>128</v>
      </c>
      <c r="AG64" t="n">
        <v>117</v>
      </c>
      <c r="AH64" t="n">
        <v>119</v>
      </c>
      <c r="AI64" t="n">
        <v>134</v>
      </c>
      <c r="AJ64" t="n">
        <v>120</v>
      </c>
      <c r="AK64">
        <f>HYPERLINK("file:///home/hermansyah/Aplikasi%20TA/data/rgbdaun/58.png","LINK")</f>
        <v/>
      </c>
      <c r="AL64" t="n">
        <v>15</v>
      </c>
      <c r="AM64" t="n">
        <v>13</v>
      </c>
      <c r="AN64">
        <f>HYPERLINK("file:///home/hermansyah/Aplikasi%20TA/data/kelilingdaun/58_atas.png","LINK")</f>
        <v/>
      </c>
      <c r="AO64">
        <f>HYPERLINK("file:///home/hermansyah/Aplikasi%20TA/data/kelilingdaun/58_bawah.png","LINK")</f>
        <v/>
      </c>
      <c r="AP64" t="n">
        <v>0.9903552569718865</v>
      </c>
      <c r="AQ64" t="n">
        <v>0.7148817561015374</v>
      </c>
      <c r="AR64" t="n">
        <v>0.03603510099598342</v>
      </c>
      <c r="AS64" t="n">
        <v>3</v>
      </c>
      <c r="AT64" t="n">
        <v>3</v>
      </c>
      <c r="AU64" t="n">
        <v>3</v>
      </c>
    </row>
    <row r="65" spans="1:47">
      <c r="A65" t="n">
        <v>59</v>
      </c>
      <c r="B65" t="s">
        <v>88</v>
      </c>
      <c r="C65" t="n">
        <v>3.5</v>
      </c>
      <c r="D65" t="n">
        <v>2.4</v>
      </c>
      <c r="E65">
        <f>HYPERLINK("file:///home/hermansyah/Aplikasi%20TA/data/luasdaun/59_atas.png","LINK")</f>
        <v/>
      </c>
      <c r="F65">
        <f>HYPERLINK("file:///home/hermansyah/Aplikasi%20TA/data/luasdaun/59_bawah.png","LINK")</f>
        <v/>
      </c>
      <c r="G65" t="n">
        <v>0</v>
      </c>
      <c r="H65" t="n">
        <v>53</v>
      </c>
      <c r="I65" t="n">
        <v>24</v>
      </c>
      <c r="J65" t="n">
        <v>0</v>
      </c>
      <c r="K65" t="n">
        <v>48</v>
      </c>
      <c r="L65" t="n">
        <v>28</v>
      </c>
      <c r="M65" t="n">
        <v>3</v>
      </c>
      <c r="N65" t="n">
        <v>59</v>
      </c>
      <c r="O65" t="n">
        <v>40</v>
      </c>
      <c r="P65" t="n">
        <v>0</v>
      </c>
      <c r="Q65" t="n">
        <v>61</v>
      </c>
      <c r="R65" t="n">
        <v>39</v>
      </c>
      <c r="S65" t="n">
        <v>114</v>
      </c>
      <c r="T65" t="n">
        <v>130</v>
      </c>
      <c r="U65" t="n">
        <v>119</v>
      </c>
      <c r="V65" t="n">
        <v>0</v>
      </c>
      <c r="W65" t="n">
        <v>55</v>
      </c>
      <c r="X65" t="n">
        <v>28</v>
      </c>
      <c r="Y65" t="n">
        <v>0</v>
      </c>
      <c r="Z65" t="n">
        <v>58</v>
      </c>
      <c r="AA65" t="n">
        <v>37</v>
      </c>
      <c r="AB65" t="n">
        <v>0</v>
      </c>
      <c r="AC65" t="n">
        <v>62</v>
      </c>
      <c r="AD65" t="n">
        <v>42</v>
      </c>
      <c r="AE65" t="n">
        <v>96</v>
      </c>
      <c r="AF65" t="n">
        <v>114</v>
      </c>
      <c r="AG65" t="n">
        <v>107</v>
      </c>
      <c r="AH65" t="n">
        <v>116</v>
      </c>
      <c r="AI65" t="n">
        <v>133</v>
      </c>
      <c r="AJ65" t="n">
        <v>120</v>
      </c>
      <c r="AK65">
        <f>HYPERLINK("file:///home/hermansyah/Aplikasi%20TA/data/rgbdaun/59.png","LINK")</f>
        <v/>
      </c>
      <c r="AL65" t="n">
        <v>16</v>
      </c>
      <c r="AM65" t="n">
        <v>12</v>
      </c>
      <c r="AN65">
        <f>HYPERLINK("file:///home/hermansyah/Aplikasi%20TA/data/kelilingdaun/59_atas.png","LINK")</f>
        <v/>
      </c>
      <c r="AO65">
        <f>HYPERLINK("file:///home/hermansyah/Aplikasi%20TA/data/kelilingdaun/59_bawah.png","LINK")</f>
        <v/>
      </c>
      <c r="AP65" t="n">
        <v>0.9903558624280746</v>
      </c>
      <c r="AQ65" t="n">
        <v>0.7147352888836142</v>
      </c>
      <c r="AR65" t="n">
        <v>0.0002425160681522224</v>
      </c>
      <c r="AS65" t="n">
        <v>3</v>
      </c>
      <c r="AT65" t="n">
        <v>3</v>
      </c>
      <c r="AU65" t="n">
        <v>3</v>
      </c>
    </row>
    <row r="66" spans="1:47">
      <c r="A66" t="n">
        <v>60</v>
      </c>
      <c r="B66" t="s">
        <v>89</v>
      </c>
      <c r="C66" t="n">
        <v>3.5</v>
      </c>
      <c r="D66" t="n">
        <v>3</v>
      </c>
      <c r="E66">
        <f>HYPERLINK("file:///home/hermansyah/Aplikasi%20TA/data/luasdaun/60_atas.png","LINK")</f>
        <v/>
      </c>
      <c r="F66">
        <f>HYPERLINK("file:///home/hermansyah/Aplikasi%20TA/data/luasdaun/60_bawah.png","LINK")</f>
        <v/>
      </c>
      <c r="G66" t="n">
        <v>0</v>
      </c>
      <c r="H66" t="n">
        <v>44</v>
      </c>
      <c r="I66" t="n">
        <v>11</v>
      </c>
      <c r="J66" t="n">
        <v>0</v>
      </c>
      <c r="K66" t="n">
        <v>44</v>
      </c>
      <c r="L66" t="n">
        <v>16</v>
      </c>
      <c r="M66" t="n">
        <v>0</v>
      </c>
      <c r="N66" t="n">
        <v>45</v>
      </c>
      <c r="O66" t="n">
        <v>17</v>
      </c>
      <c r="P66" t="n">
        <v>0</v>
      </c>
      <c r="Q66" t="n">
        <v>53</v>
      </c>
      <c r="R66" t="n">
        <v>23</v>
      </c>
      <c r="S66" t="n">
        <v>117</v>
      </c>
      <c r="T66" t="n">
        <v>132</v>
      </c>
      <c r="U66" t="n">
        <v>118</v>
      </c>
      <c r="V66" t="n">
        <v>0</v>
      </c>
      <c r="W66" t="n">
        <v>50</v>
      </c>
      <c r="X66" t="n">
        <v>13</v>
      </c>
      <c r="Y66" t="n">
        <v>0</v>
      </c>
      <c r="Z66" t="n">
        <v>49</v>
      </c>
      <c r="AA66" t="n">
        <v>19</v>
      </c>
      <c r="AB66" t="n">
        <v>0</v>
      </c>
      <c r="AC66" t="n">
        <v>48</v>
      </c>
      <c r="AD66" t="n">
        <v>18</v>
      </c>
      <c r="AE66" t="n">
        <v>23</v>
      </c>
      <c r="AF66" t="n">
        <v>73</v>
      </c>
      <c r="AG66" t="n">
        <v>49</v>
      </c>
      <c r="AH66" t="n">
        <v>118</v>
      </c>
      <c r="AI66" t="n">
        <v>133</v>
      </c>
      <c r="AJ66" t="n">
        <v>119</v>
      </c>
      <c r="AK66">
        <f>HYPERLINK("file:///home/hermansyah/Aplikasi%20TA/data/rgbdaun/60.png","LINK")</f>
        <v/>
      </c>
      <c r="AL66" t="n">
        <v>14</v>
      </c>
      <c r="AM66" t="n">
        <v>13</v>
      </c>
      <c r="AN66">
        <f>HYPERLINK("file:///home/hermansyah/Aplikasi%20TA/data/kelilingdaun/60_atas.png","LINK")</f>
        <v/>
      </c>
      <c r="AO66">
        <f>HYPERLINK("file:///home/hermansyah/Aplikasi%20TA/data/kelilingdaun/60_bawah.png","LINK")</f>
        <v/>
      </c>
      <c r="AP66" t="n">
        <v>0.9903552494489271</v>
      </c>
      <c r="AQ66" t="n">
        <v>0.7216306799951634</v>
      </c>
      <c r="AR66" t="n">
        <v>0.0358697059650336</v>
      </c>
      <c r="AS66" t="n">
        <v>3</v>
      </c>
      <c r="AT66" t="n">
        <v>3</v>
      </c>
      <c r="AU66" t="n">
        <v>3</v>
      </c>
    </row>
    <row r="67" spans="1:47">
      <c r="A67" t="n">
        <v>61</v>
      </c>
      <c r="B67" t="s">
        <v>90</v>
      </c>
      <c r="C67" t="n">
        <v>3.4</v>
      </c>
      <c r="D67" t="n">
        <v>3.4</v>
      </c>
      <c r="E67">
        <f>HYPERLINK("file:///home/hermansyah/Aplikasi%20TA/data/luasdaun/61_atas.png","LINK")</f>
        <v/>
      </c>
      <c r="F67">
        <f>HYPERLINK("file:///home/hermansyah/Aplikasi%20TA/data/luasdaun/61_bawah.png","LINK")</f>
        <v/>
      </c>
      <c r="G67" t="n">
        <v>4</v>
      </c>
      <c r="H67" t="n">
        <v>54</v>
      </c>
      <c r="I67" t="n">
        <v>24</v>
      </c>
      <c r="J67" t="n">
        <v>0</v>
      </c>
      <c r="K67" t="n">
        <v>46</v>
      </c>
      <c r="L67" t="n">
        <v>20</v>
      </c>
      <c r="M67" t="n">
        <v>0</v>
      </c>
      <c r="N67" t="n">
        <v>46</v>
      </c>
      <c r="O67" t="n">
        <v>23</v>
      </c>
      <c r="P67" t="n">
        <v>0</v>
      </c>
      <c r="Q67" t="n">
        <v>51</v>
      </c>
      <c r="R67" t="n">
        <v>23</v>
      </c>
      <c r="S67" t="n">
        <v>0</v>
      </c>
      <c r="T67" t="n">
        <v>58</v>
      </c>
      <c r="U67" t="n">
        <v>27</v>
      </c>
      <c r="V67" t="n">
        <v>0</v>
      </c>
      <c r="W67" t="n">
        <v>51</v>
      </c>
      <c r="X67" t="n">
        <v>18</v>
      </c>
      <c r="Y67" t="n">
        <v>0</v>
      </c>
      <c r="Z67" t="n">
        <v>48</v>
      </c>
      <c r="AA67" t="n">
        <v>22</v>
      </c>
      <c r="AB67" t="n">
        <v>1</v>
      </c>
      <c r="AC67" t="n">
        <v>47</v>
      </c>
      <c r="AD67" t="n">
        <v>24</v>
      </c>
      <c r="AE67" t="n">
        <v>0</v>
      </c>
      <c r="AF67" t="n">
        <v>47</v>
      </c>
      <c r="AG67" t="n">
        <v>21</v>
      </c>
      <c r="AH67" t="n">
        <v>0</v>
      </c>
      <c r="AI67" t="n">
        <v>48</v>
      </c>
      <c r="AJ67" t="n">
        <v>20</v>
      </c>
      <c r="AK67">
        <f>HYPERLINK("file:///home/hermansyah/Aplikasi%20TA/data/rgbdaun/61.png","LINK")</f>
        <v/>
      </c>
      <c r="AL67" t="n">
        <v>14</v>
      </c>
      <c r="AM67" t="n">
        <v>15</v>
      </c>
      <c r="AN67">
        <f>HYPERLINK("file:///home/hermansyah/Aplikasi%20TA/data/kelilingdaun/61_atas.png","LINK")</f>
        <v/>
      </c>
      <c r="AO67">
        <f>HYPERLINK("file:///home/hermansyah/Aplikasi%20TA/data/kelilingdaun/61_bawah.png","LINK")</f>
        <v/>
      </c>
      <c r="AP67" t="n">
        <v>0.9903552492426371</v>
      </c>
      <c r="AQ67" t="n">
        <v>0.9380979614551431</v>
      </c>
      <c r="AR67" t="n">
        <v>1.999575254402127e-07</v>
      </c>
      <c r="AS67" t="n">
        <v>3</v>
      </c>
      <c r="AT67" t="n">
        <v>3</v>
      </c>
      <c r="AU67" t="n">
        <v>5</v>
      </c>
    </row>
    <row r="68" spans="1:47">
      <c r="A68" t="n">
        <v>62</v>
      </c>
      <c r="B68" t="s">
        <v>91</v>
      </c>
      <c r="C68" t="n">
        <v>3.1</v>
      </c>
      <c r="D68" t="n">
        <v>3</v>
      </c>
      <c r="E68">
        <f>HYPERLINK("file:///home/hermansyah/Aplikasi%20TA/data/luasdaun/62_atas.png","LINK")</f>
        <v/>
      </c>
      <c r="F68">
        <f>HYPERLINK("file:///home/hermansyah/Aplikasi%20TA/data/luasdaun/62_bawah.png","LINK")</f>
        <v/>
      </c>
      <c r="G68" t="n">
        <v>2</v>
      </c>
      <c r="H68" t="n">
        <v>52</v>
      </c>
      <c r="I68" t="n">
        <v>20</v>
      </c>
      <c r="J68" t="n">
        <v>0</v>
      </c>
      <c r="K68" t="n">
        <v>45</v>
      </c>
      <c r="L68" t="n">
        <v>19</v>
      </c>
      <c r="M68" t="n">
        <v>0</v>
      </c>
      <c r="N68" t="n">
        <v>53</v>
      </c>
      <c r="O68" t="n">
        <v>28</v>
      </c>
      <c r="P68" t="n">
        <v>94</v>
      </c>
      <c r="Q68" t="n">
        <v>118</v>
      </c>
      <c r="R68" t="n">
        <v>110</v>
      </c>
      <c r="S68" t="n">
        <v>122</v>
      </c>
      <c r="T68" t="n">
        <v>136</v>
      </c>
      <c r="U68" t="n">
        <v>125</v>
      </c>
      <c r="V68" t="n">
        <v>0</v>
      </c>
      <c r="W68" t="n">
        <v>51</v>
      </c>
      <c r="X68" t="n">
        <v>21</v>
      </c>
      <c r="Y68" t="n">
        <v>0</v>
      </c>
      <c r="Z68" t="n">
        <v>49</v>
      </c>
      <c r="AA68" t="n">
        <v>25</v>
      </c>
      <c r="AB68" t="n">
        <v>0</v>
      </c>
      <c r="AC68" t="n">
        <v>57</v>
      </c>
      <c r="AD68" t="n">
        <v>32</v>
      </c>
      <c r="AE68" t="n">
        <v>97</v>
      </c>
      <c r="AF68" t="n">
        <v>115</v>
      </c>
      <c r="AG68" t="n">
        <v>108</v>
      </c>
      <c r="AH68" t="n">
        <v>121</v>
      </c>
      <c r="AI68" t="n">
        <v>136</v>
      </c>
      <c r="AJ68" t="n">
        <v>122</v>
      </c>
      <c r="AK68">
        <f>HYPERLINK("file:///home/hermansyah/Aplikasi%20TA/data/rgbdaun/62.png","LINK")</f>
        <v/>
      </c>
      <c r="AL68" t="n">
        <v>13</v>
      </c>
      <c r="AM68" t="n">
        <v>14</v>
      </c>
      <c r="AN68">
        <f>HYPERLINK("file:///home/hermansyah/Aplikasi%20TA/data/kelilingdaun/62_atas.png","LINK")</f>
        <v/>
      </c>
      <c r="AO68">
        <f>HYPERLINK("file:///home/hermansyah/Aplikasi%20TA/data/kelilingdaun/62_bawah.png","LINK")</f>
        <v/>
      </c>
      <c r="AP68" t="n">
        <v>0.9903552492448559</v>
      </c>
      <c r="AQ68" t="n">
        <v>0.9383442610574814</v>
      </c>
      <c r="AR68" t="n">
        <v>0.03610830603039455</v>
      </c>
      <c r="AS68" t="n">
        <v>3</v>
      </c>
      <c r="AT68" t="n">
        <v>3</v>
      </c>
      <c r="AU68" t="n">
        <v>3</v>
      </c>
    </row>
    <row r="69" spans="1:47">
      <c r="A69" t="n">
        <v>63</v>
      </c>
      <c r="B69" t="s">
        <v>92</v>
      </c>
      <c r="C69" t="n">
        <v>4.100000000000001</v>
      </c>
      <c r="D69" t="n">
        <v>3.2</v>
      </c>
      <c r="E69">
        <f>HYPERLINK("file:///home/hermansyah/Aplikasi%20TA/data/luasdaun/63_atas.png","LINK")</f>
        <v/>
      </c>
      <c r="F69">
        <f>HYPERLINK("file:///home/hermansyah/Aplikasi%20TA/data/luasdaun/63_bawah.png","LINK")</f>
        <v/>
      </c>
      <c r="G69" t="n">
        <v>0</v>
      </c>
      <c r="H69" t="n">
        <v>52</v>
      </c>
      <c r="I69" t="n">
        <v>19</v>
      </c>
      <c r="J69" t="n">
        <v>0</v>
      </c>
      <c r="K69" t="n">
        <v>50</v>
      </c>
      <c r="L69" t="n">
        <v>26</v>
      </c>
      <c r="M69" t="n">
        <v>0</v>
      </c>
      <c r="N69" t="n">
        <v>47</v>
      </c>
      <c r="O69" t="n">
        <v>23</v>
      </c>
      <c r="P69" t="n">
        <v>0</v>
      </c>
      <c r="Q69" t="n">
        <v>48</v>
      </c>
      <c r="R69" t="n">
        <v>21</v>
      </c>
      <c r="S69" t="n">
        <v>0</v>
      </c>
      <c r="T69" t="n">
        <v>53</v>
      </c>
      <c r="U69" t="n">
        <v>24</v>
      </c>
      <c r="V69" t="n">
        <v>0</v>
      </c>
      <c r="W69" t="n">
        <v>41</v>
      </c>
      <c r="X69" t="n">
        <v>15</v>
      </c>
      <c r="Y69" t="n">
        <v>0</v>
      </c>
      <c r="Z69" t="n">
        <v>47</v>
      </c>
      <c r="AA69" t="n">
        <v>21</v>
      </c>
      <c r="AB69" t="n">
        <v>1</v>
      </c>
      <c r="AC69" t="n">
        <v>52</v>
      </c>
      <c r="AD69" t="n">
        <v>25</v>
      </c>
      <c r="AE69" t="n">
        <v>0</v>
      </c>
      <c r="AF69" t="n">
        <v>54</v>
      </c>
      <c r="AG69" t="n">
        <v>25</v>
      </c>
      <c r="AH69" t="n">
        <v>0</v>
      </c>
      <c r="AI69" t="n">
        <v>52</v>
      </c>
      <c r="AJ69" t="n">
        <v>22</v>
      </c>
      <c r="AK69">
        <f>HYPERLINK("file:///home/hermansyah/Aplikasi%20TA/data/rgbdaun/63.png","LINK")</f>
        <v/>
      </c>
      <c r="AL69" t="n">
        <v>17</v>
      </c>
      <c r="AM69" t="n">
        <v>14</v>
      </c>
      <c r="AN69">
        <f>HYPERLINK("file:///home/hermansyah/Aplikasi%20TA/data/kelilingdaun/63_atas.png","LINK")</f>
        <v/>
      </c>
      <c r="AO69">
        <f>HYPERLINK("file:///home/hermansyah/Aplikasi%20TA/data/kelilingdaun/63_bawah.png","LINK")</f>
        <v/>
      </c>
      <c r="AP69" t="n">
        <v>0.9903552493047236</v>
      </c>
      <c r="AQ69" t="n">
        <v>0.7152017217706312</v>
      </c>
      <c r="AR69" t="n">
        <v>2.769072718568724e-07</v>
      </c>
      <c r="AS69" t="n">
        <v>3</v>
      </c>
      <c r="AT69" t="n">
        <v>4</v>
      </c>
      <c r="AU69" t="n">
        <v>3</v>
      </c>
    </row>
    <row r="70" spans="1:47">
      <c r="A70" t="n">
        <v>64</v>
      </c>
      <c r="B70" t="s">
        <v>93</v>
      </c>
      <c r="C70" t="n">
        <v>2.6</v>
      </c>
      <c r="D70" t="n">
        <v>3.3</v>
      </c>
      <c r="E70">
        <f>HYPERLINK("file:///home/hermansyah/Aplikasi%20TA/data/luasdaun/64_atas.png","LINK")</f>
        <v/>
      </c>
      <c r="F70">
        <f>HYPERLINK("file:///home/hermansyah/Aplikasi%20TA/data/luasdaun/64_bawah.png","LINK")</f>
        <v/>
      </c>
      <c r="G70" t="n">
        <v>0</v>
      </c>
      <c r="H70" t="n">
        <v>50</v>
      </c>
      <c r="I70" t="n">
        <v>16</v>
      </c>
      <c r="J70" t="n">
        <v>0</v>
      </c>
      <c r="K70" t="n">
        <v>49</v>
      </c>
      <c r="L70" t="n">
        <v>21</v>
      </c>
      <c r="M70" t="n">
        <v>0</v>
      </c>
      <c r="N70" t="n">
        <v>50</v>
      </c>
      <c r="O70" t="n">
        <v>23</v>
      </c>
      <c r="P70" t="n">
        <v>1</v>
      </c>
      <c r="Q70" t="n">
        <v>57</v>
      </c>
      <c r="R70" t="n">
        <v>28</v>
      </c>
      <c r="S70" t="n">
        <v>120</v>
      </c>
      <c r="T70" t="n">
        <v>134</v>
      </c>
      <c r="U70" t="n">
        <v>122</v>
      </c>
      <c r="V70" t="n">
        <v>0</v>
      </c>
      <c r="W70" t="n">
        <v>60</v>
      </c>
      <c r="X70" t="n">
        <v>26</v>
      </c>
      <c r="Y70" t="n">
        <v>0</v>
      </c>
      <c r="Z70" t="n">
        <v>54</v>
      </c>
      <c r="AA70" t="n">
        <v>25</v>
      </c>
      <c r="AB70" t="n">
        <v>0</v>
      </c>
      <c r="AC70" t="n">
        <v>54</v>
      </c>
      <c r="AD70" t="n">
        <v>25</v>
      </c>
      <c r="AE70" t="n">
        <v>2</v>
      </c>
      <c r="AF70" t="n">
        <v>61</v>
      </c>
      <c r="AG70" t="n">
        <v>33</v>
      </c>
      <c r="AH70" t="n">
        <v>119</v>
      </c>
      <c r="AI70" t="n">
        <v>133</v>
      </c>
      <c r="AJ70" t="n">
        <v>121</v>
      </c>
      <c r="AK70">
        <f>HYPERLINK("file:///home/hermansyah/Aplikasi%20TA/data/rgbdaun/64.png","LINK")</f>
        <v/>
      </c>
      <c r="AL70" t="n">
        <v>13</v>
      </c>
      <c r="AM70" t="n">
        <v>16</v>
      </c>
      <c r="AN70">
        <f>HYPERLINK("file:///home/hermansyah/Aplikasi%20TA/data/kelilingdaun/64_atas.png","LINK")</f>
        <v/>
      </c>
      <c r="AO70">
        <f>HYPERLINK("file:///home/hermansyah/Aplikasi%20TA/data/kelilingdaun/64_bawah.png","LINK")</f>
        <v/>
      </c>
      <c r="AP70" t="n">
        <v>0.9903552491614307</v>
      </c>
      <c r="AQ70" t="n">
        <v>0.9391802947115444</v>
      </c>
      <c r="AR70" t="n">
        <v>0.02813854255642601</v>
      </c>
      <c r="AS70" t="n">
        <v>3</v>
      </c>
      <c r="AT70" t="n">
        <v>3</v>
      </c>
      <c r="AU70" t="n">
        <v>3</v>
      </c>
    </row>
    <row r="71" spans="1:47">
      <c r="A71" t="n">
        <v>65</v>
      </c>
      <c r="B71" t="s">
        <v>94</v>
      </c>
      <c r="C71" t="n">
        <v>4.600000000000001</v>
      </c>
      <c r="D71" t="n">
        <v>3.1</v>
      </c>
      <c r="E71">
        <f>HYPERLINK("file:///home/hermansyah/Aplikasi%20TA/data/luasdaun/65_atas.png","LINK")</f>
        <v/>
      </c>
      <c r="F71">
        <f>HYPERLINK("file:///home/hermansyah/Aplikasi%20TA/data/luasdaun/65_bawah.png","LINK")</f>
        <v/>
      </c>
      <c r="G71" t="n">
        <v>0</v>
      </c>
      <c r="H71" t="n">
        <v>51</v>
      </c>
      <c r="I71" t="n">
        <v>23</v>
      </c>
      <c r="J71" t="n">
        <v>3</v>
      </c>
      <c r="K71" t="n">
        <v>52</v>
      </c>
      <c r="L71" t="n">
        <v>30</v>
      </c>
      <c r="M71" t="n">
        <v>0</v>
      </c>
      <c r="N71" t="n">
        <v>44</v>
      </c>
      <c r="O71" t="n">
        <v>21</v>
      </c>
      <c r="P71" t="n">
        <v>0</v>
      </c>
      <c r="Q71" t="n">
        <v>43</v>
      </c>
      <c r="R71" t="n">
        <v>22</v>
      </c>
      <c r="S71" t="n">
        <v>32</v>
      </c>
      <c r="T71" t="n">
        <v>70</v>
      </c>
      <c r="U71" t="n">
        <v>52</v>
      </c>
      <c r="V71" t="n">
        <v>0</v>
      </c>
      <c r="W71" t="n">
        <v>46</v>
      </c>
      <c r="X71" t="n">
        <v>18</v>
      </c>
      <c r="Y71" t="n">
        <v>0</v>
      </c>
      <c r="Z71" t="n">
        <v>48</v>
      </c>
      <c r="AA71" t="n">
        <v>24</v>
      </c>
      <c r="AB71" t="n">
        <v>0</v>
      </c>
      <c r="AC71" t="n">
        <v>43</v>
      </c>
      <c r="AD71" t="n">
        <v>20</v>
      </c>
      <c r="AE71" t="n">
        <v>1</v>
      </c>
      <c r="AF71" t="n">
        <v>43</v>
      </c>
      <c r="AG71" t="n">
        <v>20</v>
      </c>
      <c r="AH71" t="n">
        <v>115</v>
      </c>
      <c r="AI71" t="n">
        <v>129</v>
      </c>
      <c r="AJ71" t="n">
        <v>117</v>
      </c>
      <c r="AK71">
        <f>HYPERLINK("file:///home/hermansyah/Aplikasi%20TA/data/rgbdaun/65.png","LINK")</f>
        <v/>
      </c>
      <c r="AL71" t="n">
        <v>18</v>
      </c>
      <c r="AM71" t="n">
        <v>13</v>
      </c>
      <c r="AN71">
        <f>HYPERLINK("file:///home/hermansyah/Aplikasi%20TA/data/kelilingdaun/65_atas.png","LINK")</f>
        <v/>
      </c>
      <c r="AO71">
        <f>HYPERLINK("file:///home/hermansyah/Aplikasi%20TA/data/kelilingdaun/65_bawah.png","LINK")</f>
        <v/>
      </c>
      <c r="AP71" t="n">
        <v>0.9903552497677475</v>
      </c>
      <c r="AQ71" t="n">
        <v>0.7151569474558601</v>
      </c>
      <c r="AR71" t="n">
        <v>0.025985372690288</v>
      </c>
      <c r="AS71" t="n">
        <v>4</v>
      </c>
      <c r="AT71" t="n">
        <v>4</v>
      </c>
      <c r="AU71" t="n">
        <v>3</v>
      </c>
    </row>
    <row r="72" spans="1:47">
      <c r="A72" t="n">
        <v>66</v>
      </c>
      <c r="B72" t="s">
        <v>95</v>
      </c>
      <c r="C72" t="n">
        <v>2.7</v>
      </c>
      <c r="D72" t="n">
        <v>3.2</v>
      </c>
      <c r="E72">
        <f>HYPERLINK("file:///home/hermansyah/Aplikasi%20TA/data/luasdaun/66_atas.png","LINK")</f>
        <v/>
      </c>
      <c r="F72">
        <f>HYPERLINK("file:///home/hermansyah/Aplikasi%20TA/data/luasdaun/66_bawah.png","LINK")</f>
        <v/>
      </c>
      <c r="G72" t="n">
        <v>0</v>
      </c>
      <c r="H72" t="n">
        <v>55</v>
      </c>
      <c r="I72" t="n">
        <v>20</v>
      </c>
      <c r="J72" t="n">
        <v>0</v>
      </c>
      <c r="K72" t="n">
        <v>50</v>
      </c>
      <c r="L72" t="n">
        <v>23</v>
      </c>
      <c r="M72" t="n">
        <v>0</v>
      </c>
      <c r="N72" t="n">
        <v>53</v>
      </c>
      <c r="O72" t="n">
        <v>26</v>
      </c>
      <c r="P72" t="n">
        <v>113</v>
      </c>
      <c r="Q72" t="n">
        <v>131</v>
      </c>
      <c r="R72" t="n">
        <v>124</v>
      </c>
      <c r="S72" t="n">
        <v>117</v>
      </c>
      <c r="T72" t="n">
        <v>134</v>
      </c>
      <c r="U72" t="n">
        <v>121</v>
      </c>
      <c r="V72" t="n">
        <v>0</v>
      </c>
      <c r="W72" t="n">
        <v>45</v>
      </c>
      <c r="X72" t="n">
        <v>16</v>
      </c>
      <c r="Y72" t="n">
        <v>0</v>
      </c>
      <c r="Z72" t="n">
        <v>41</v>
      </c>
      <c r="AA72" t="n">
        <v>15</v>
      </c>
      <c r="AB72" t="n">
        <v>0</v>
      </c>
      <c r="AC72" t="n">
        <v>51</v>
      </c>
      <c r="AD72" t="n">
        <v>24</v>
      </c>
      <c r="AE72" t="n">
        <v>112</v>
      </c>
      <c r="AF72" t="n">
        <v>129</v>
      </c>
      <c r="AG72" t="n">
        <v>120</v>
      </c>
      <c r="AH72" t="n">
        <v>119</v>
      </c>
      <c r="AI72" t="n">
        <v>134</v>
      </c>
      <c r="AJ72" t="n">
        <v>120</v>
      </c>
      <c r="AK72">
        <f>HYPERLINK("file:///home/hermansyah/Aplikasi%20TA/data/rgbdaun/66.png","LINK")</f>
        <v/>
      </c>
      <c r="AL72" t="n">
        <v>13</v>
      </c>
      <c r="AM72" t="n">
        <v>13</v>
      </c>
      <c r="AN72">
        <f>HYPERLINK("file:///home/hermansyah/Aplikasi%20TA/data/kelilingdaun/66_atas.png","LINK")</f>
        <v/>
      </c>
      <c r="AO72">
        <f>HYPERLINK("file:///home/hermansyah/Aplikasi%20TA/data/kelilingdaun/66_bawah.png","LINK")</f>
        <v/>
      </c>
      <c r="AP72" t="n">
        <v>0.990355249136443</v>
      </c>
      <c r="AQ72" t="n">
        <v>0.8937157555701907</v>
      </c>
      <c r="AR72" t="n">
        <v>0.03629692562881263</v>
      </c>
      <c r="AS72" t="n">
        <v>3</v>
      </c>
      <c r="AT72" t="n">
        <v>3</v>
      </c>
      <c r="AU72" t="n">
        <v>5</v>
      </c>
    </row>
    <row r="73" spans="1:47">
      <c r="A73" t="n">
        <v>67</v>
      </c>
      <c r="B73" t="s">
        <v>96</v>
      </c>
      <c r="C73" t="n">
        <v>2.7</v>
      </c>
      <c r="D73" t="n">
        <v>2.6</v>
      </c>
      <c r="E73">
        <f>HYPERLINK("file:///home/hermansyah/Aplikasi%20TA/data/luasdaun/67_atas.png","LINK")</f>
        <v/>
      </c>
      <c r="F73">
        <f>HYPERLINK("file:///home/hermansyah/Aplikasi%20TA/data/luasdaun/67_bawah.png","LINK")</f>
        <v/>
      </c>
      <c r="G73" t="n">
        <v>0</v>
      </c>
      <c r="H73" t="n">
        <v>54</v>
      </c>
      <c r="I73" t="n">
        <v>13</v>
      </c>
      <c r="J73" t="n">
        <v>0</v>
      </c>
      <c r="K73" t="n">
        <v>52</v>
      </c>
      <c r="L73" t="n">
        <v>19</v>
      </c>
      <c r="M73" t="n">
        <v>0</v>
      </c>
      <c r="N73" t="n">
        <v>57</v>
      </c>
      <c r="O73" t="n">
        <v>27</v>
      </c>
      <c r="P73" t="n">
        <v>47</v>
      </c>
      <c r="Q73" t="n">
        <v>76</v>
      </c>
      <c r="R73" t="n">
        <v>85</v>
      </c>
      <c r="S73" t="n">
        <v>121</v>
      </c>
      <c r="T73" t="n">
        <v>135</v>
      </c>
      <c r="U73" t="n">
        <v>123</v>
      </c>
      <c r="V73" t="n">
        <v>0</v>
      </c>
      <c r="W73" t="n">
        <v>48</v>
      </c>
      <c r="X73" t="n">
        <v>11</v>
      </c>
      <c r="Y73" t="n">
        <v>0</v>
      </c>
      <c r="Z73" t="n">
        <v>51</v>
      </c>
      <c r="AA73" t="n">
        <v>21</v>
      </c>
      <c r="AB73" t="n">
        <v>0</v>
      </c>
      <c r="AC73" t="n">
        <v>70</v>
      </c>
      <c r="AD73" t="n">
        <v>40</v>
      </c>
      <c r="AE73" t="n">
        <v>114</v>
      </c>
      <c r="AF73" t="n">
        <v>130</v>
      </c>
      <c r="AG73" t="n">
        <v>119</v>
      </c>
      <c r="AH73" t="n">
        <v>119</v>
      </c>
      <c r="AI73" t="n">
        <v>134</v>
      </c>
      <c r="AJ73" t="n">
        <v>120</v>
      </c>
      <c r="AK73">
        <f>HYPERLINK("file:///home/hermansyah/Aplikasi%20TA/data/rgbdaun/67.png","LINK")</f>
        <v/>
      </c>
      <c r="AL73" t="n">
        <v>14</v>
      </c>
      <c r="AM73" t="n">
        <v>12</v>
      </c>
      <c r="AN73">
        <f>HYPERLINK("file:///home/hermansyah/Aplikasi%20TA/data/kelilingdaun/67_atas.png","LINK")</f>
        <v/>
      </c>
      <c r="AO73">
        <f>HYPERLINK("file:///home/hermansyah/Aplikasi%20TA/data/kelilingdaun/67_bawah.png","LINK")</f>
        <v/>
      </c>
      <c r="AP73" t="n">
        <v>0.9903552612563523</v>
      </c>
      <c r="AQ73" t="n">
        <v>0.7144679629243305</v>
      </c>
      <c r="AR73" t="n">
        <v>0.03609763117054534</v>
      </c>
      <c r="AS73" t="n">
        <v>3</v>
      </c>
      <c r="AT73" t="n">
        <v>3</v>
      </c>
      <c r="AU73" t="n">
        <v>3</v>
      </c>
    </row>
    <row r="74" spans="1:47">
      <c r="A74" t="n">
        <v>68</v>
      </c>
      <c r="B74" t="s">
        <v>97</v>
      </c>
      <c r="C74" t="n">
        <v>3.4</v>
      </c>
      <c r="D74" t="n">
        <v>3.2</v>
      </c>
      <c r="E74">
        <f>HYPERLINK("file:///home/hermansyah/Aplikasi%20TA/data/luasdaun/68_atas.png","LINK")</f>
        <v/>
      </c>
      <c r="F74">
        <f>HYPERLINK("file:///home/hermansyah/Aplikasi%20TA/data/luasdaun/68_bawah.png","LINK")</f>
        <v/>
      </c>
      <c r="G74" t="n">
        <v>0</v>
      </c>
      <c r="H74" t="n">
        <v>45</v>
      </c>
      <c r="I74" t="n">
        <v>13</v>
      </c>
      <c r="J74" t="n">
        <v>1</v>
      </c>
      <c r="K74" t="n">
        <v>48</v>
      </c>
      <c r="L74" t="n">
        <v>22</v>
      </c>
      <c r="M74" t="n">
        <v>0</v>
      </c>
      <c r="N74" t="n">
        <v>44</v>
      </c>
      <c r="O74" t="n">
        <v>21</v>
      </c>
      <c r="P74" t="n">
        <v>0</v>
      </c>
      <c r="Q74" t="n">
        <v>59</v>
      </c>
      <c r="R74" t="n">
        <v>33</v>
      </c>
      <c r="S74" t="n">
        <v>64</v>
      </c>
      <c r="T74" t="n">
        <v>101</v>
      </c>
      <c r="U74" t="n">
        <v>85</v>
      </c>
      <c r="V74" t="n">
        <v>0</v>
      </c>
      <c r="W74" t="n">
        <v>42</v>
      </c>
      <c r="X74" t="n">
        <v>15</v>
      </c>
      <c r="Y74" t="n">
        <v>0</v>
      </c>
      <c r="Z74" t="n">
        <v>42</v>
      </c>
      <c r="AA74" t="n">
        <v>19</v>
      </c>
      <c r="AB74" t="n">
        <v>1</v>
      </c>
      <c r="AC74" t="n">
        <v>49</v>
      </c>
      <c r="AD74" t="n">
        <v>25</v>
      </c>
      <c r="AE74" t="n">
        <v>0</v>
      </c>
      <c r="AF74" t="n">
        <v>48</v>
      </c>
      <c r="AG74" t="n">
        <v>21</v>
      </c>
      <c r="AH74" t="n">
        <v>111</v>
      </c>
      <c r="AI74" t="n">
        <v>128</v>
      </c>
      <c r="AJ74" t="n">
        <v>115</v>
      </c>
      <c r="AK74">
        <f>HYPERLINK("file:///home/hermansyah/Aplikasi%20TA/data/rgbdaun/68.png","LINK")</f>
        <v/>
      </c>
      <c r="AL74" t="n">
        <v>14</v>
      </c>
      <c r="AM74" t="n">
        <v>15</v>
      </c>
      <c r="AN74">
        <f>HYPERLINK("file:///home/hermansyah/Aplikasi%20TA/data/kelilingdaun/68_atas.png","LINK")</f>
        <v/>
      </c>
      <c r="AO74">
        <f>HYPERLINK("file:///home/hermansyah/Aplikasi%20TA/data/kelilingdaun/68_bawah.png","LINK")</f>
        <v/>
      </c>
      <c r="AP74" t="n">
        <v>0.9903552492309735</v>
      </c>
      <c r="AQ74" t="n">
        <v>0.9380979614551431</v>
      </c>
      <c r="AR74" t="n">
        <v>0.03480199491914857</v>
      </c>
      <c r="AS74" t="n">
        <v>3</v>
      </c>
      <c r="AT74" t="n">
        <v>3</v>
      </c>
      <c r="AU74" t="n">
        <v>3</v>
      </c>
    </row>
    <row r="75" spans="1:47">
      <c r="A75" t="n">
        <v>69</v>
      </c>
      <c r="B75" t="s">
        <v>98</v>
      </c>
      <c r="C75" t="n">
        <v>3</v>
      </c>
      <c r="D75" t="n">
        <v>3</v>
      </c>
      <c r="E75">
        <f>HYPERLINK("file:///home/hermansyah/Aplikasi%20TA/data/luasdaun/69_atas.png","LINK")</f>
        <v/>
      </c>
      <c r="F75">
        <f>HYPERLINK("file:///home/hermansyah/Aplikasi%20TA/data/luasdaun/69_bawah.png","LINK")</f>
        <v/>
      </c>
      <c r="G75" t="n">
        <v>0</v>
      </c>
      <c r="H75" t="n">
        <v>50</v>
      </c>
      <c r="I75" t="n">
        <v>18</v>
      </c>
      <c r="J75" t="n">
        <v>0</v>
      </c>
      <c r="K75" t="n">
        <v>47</v>
      </c>
      <c r="L75" t="n">
        <v>21</v>
      </c>
      <c r="M75" t="n">
        <v>0</v>
      </c>
      <c r="N75" t="n">
        <v>56</v>
      </c>
      <c r="O75" t="n">
        <v>28</v>
      </c>
      <c r="P75" t="n">
        <v>0</v>
      </c>
      <c r="Q75" t="n">
        <v>61</v>
      </c>
      <c r="R75" t="n">
        <v>35</v>
      </c>
      <c r="S75" t="n">
        <v>111</v>
      </c>
      <c r="T75" t="n">
        <v>127</v>
      </c>
      <c r="U75" t="n">
        <v>116</v>
      </c>
      <c r="V75" t="n">
        <v>0</v>
      </c>
      <c r="W75" t="n">
        <v>43</v>
      </c>
      <c r="X75" t="n">
        <v>14</v>
      </c>
      <c r="Y75" t="n">
        <v>0</v>
      </c>
      <c r="Z75" t="n">
        <v>50</v>
      </c>
      <c r="AA75" t="n">
        <v>23</v>
      </c>
      <c r="AB75" t="n">
        <v>0</v>
      </c>
      <c r="AC75" t="n">
        <v>49</v>
      </c>
      <c r="AD75" t="n">
        <v>22</v>
      </c>
      <c r="AE75" t="n">
        <v>105</v>
      </c>
      <c r="AF75" t="n">
        <v>121</v>
      </c>
      <c r="AG75" t="n">
        <v>114</v>
      </c>
      <c r="AH75" t="n">
        <v>116</v>
      </c>
      <c r="AI75" t="n">
        <v>132</v>
      </c>
      <c r="AJ75" t="n">
        <v>121</v>
      </c>
      <c r="AK75">
        <f>HYPERLINK("file:///home/hermansyah/Aplikasi%20TA/data/rgbdaun/69.png","LINK")</f>
        <v/>
      </c>
      <c r="AL75" t="n">
        <v>15</v>
      </c>
      <c r="AM75" t="n">
        <v>13</v>
      </c>
      <c r="AN75">
        <f>HYPERLINK("file:///home/hermansyah/Aplikasi%20TA/data/kelilingdaun/69_atas.png","LINK")</f>
        <v/>
      </c>
      <c r="AO75">
        <f>HYPERLINK("file:///home/hermansyah/Aplikasi%20TA/data/kelilingdaun/69_bawah.png","LINK")</f>
        <v/>
      </c>
      <c r="AP75" t="n">
        <v>0.9903552491988783</v>
      </c>
      <c r="AQ75" t="n">
        <v>0.7148817561015374</v>
      </c>
      <c r="AR75" t="n">
        <v>0.03547957529434803</v>
      </c>
      <c r="AS75" t="n">
        <v>3</v>
      </c>
      <c r="AT75" t="n">
        <v>3</v>
      </c>
      <c r="AU75" t="n">
        <v>3</v>
      </c>
    </row>
    <row r="76" spans="1:47">
      <c r="A76" t="n">
        <v>70</v>
      </c>
      <c r="B76" t="s">
        <v>99</v>
      </c>
      <c r="C76" t="n">
        <v>3.5</v>
      </c>
      <c r="D76" t="n">
        <v>2.9</v>
      </c>
      <c r="E76">
        <f>HYPERLINK("file:///home/hermansyah/Aplikasi%20TA/data/luasdaun/70_atas.png","LINK")</f>
        <v/>
      </c>
      <c r="F76">
        <f>HYPERLINK("file:///home/hermansyah/Aplikasi%20TA/data/luasdaun/70_bawah.png","LINK")</f>
        <v/>
      </c>
      <c r="G76" t="n">
        <v>0</v>
      </c>
      <c r="H76" t="n">
        <v>45</v>
      </c>
      <c r="I76" t="n">
        <v>7</v>
      </c>
      <c r="J76" t="n">
        <v>0</v>
      </c>
      <c r="K76" t="n">
        <v>47</v>
      </c>
      <c r="L76" t="n">
        <v>15</v>
      </c>
      <c r="M76" t="n">
        <v>0</v>
      </c>
      <c r="N76" t="n">
        <v>50</v>
      </c>
      <c r="O76" t="n">
        <v>17</v>
      </c>
      <c r="P76" t="n">
        <v>0</v>
      </c>
      <c r="Q76" t="n">
        <v>53</v>
      </c>
      <c r="R76" t="n">
        <v>20</v>
      </c>
      <c r="S76" t="n">
        <v>117</v>
      </c>
      <c r="T76" t="n">
        <v>132</v>
      </c>
      <c r="U76" t="n">
        <v>118</v>
      </c>
      <c r="V76" t="n">
        <v>0</v>
      </c>
      <c r="W76" t="n">
        <v>50</v>
      </c>
      <c r="X76" t="n">
        <v>11</v>
      </c>
      <c r="Y76" t="n">
        <v>0</v>
      </c>
      <c r="Z76" t="n">
        <v>44</v>
      </c>
      <c r="AA76" t="n">
        <v>12</v>
      </c>
      <c r="AB76" t="n">
        <v>0</v>
      </c>
      <c r="AC76" t="n">
        <v>54</v>
      </c>
      <c r="AD76" t="n">
        <v>23</v>
      </c>
      <c r="AE76" t="n">
        <v>53</v>
      </c>
      <c r="AF76" t="n">
        <v>95</v>
      </c>
      <c r="AG76" t="n">
        <v>78</v>
      </c>
      <c r="AH76" t="n">
        <v>118</v>
      </c>
      <c r="AI76" t="n">
        <v>133</v>
      </c>
      <c r="AJ76" t="n">
        <v>119</v>
      </c>
      <c r="AK76">
        <f>HYPERLINK("file:///home/hermansyah/Aplikasi%20TA/data/rgbdaun/70.png","LINK")</f>
        <v/>
      </c>
      <c r="AL76" t="n">
        <v>16</v>
      </c>
      <c r="AM76" t="n">
        <v>13</v>
      </c>
      <c r="AN76">
        <f>HYPERLINK("file:///home/hermansyah/Aplikasi%20TA/data/kelilingdaun/70_atas.png","LINK")</f>
        <v/>
      </c>
      <c r="AO76">
        <f>HYPERLINK("file:///home/hermansyah/Aplikasi%20TA/data/kelilingdaun/70_bawah.png","LINK")</f>
        <v/>
      </c>
      <c r="AP76" t="n">
        <v>0.9903552501384651</v>
      </c>
      <c r="AQ76" t="n">
        <v>0.7149467436179062</v>
      </c>
      <c r="AR76" t="n">
        <v>0.03547772751500556</v>
      </c>
      <c r="AS76" t="n">
        <v>3</v>
      </c>
      <c r="AT76" t="n">
        <v>3</v>
      </c>
      <c r="AU76" t="n">
        <v>3</v>
      </c>
    </row>
    <row r="77" spans="1:47">
      <c r="A77" t="n">
        <v>71</v>
      </c>
      <c r="B77" t="s">
        <v>100</v>
      </c>
      <c r="C77" t="n">
        <v>4.100000000000001</v>
      </c>
      <c r="D77" t="n">
        <v>3.6</v>
      </c>
      <c r="E77">
        <f>HYPERLINK("file:///home/hermansyah/Aplikasi%20TA/data/luasdaun/71_atas.png","LINK")</f>
        <v/>
      </c>
      <c r="F77">
        <f>HYPERLINK("file:///home/hermansyah/Aplikasi%20TA/data/luasdaun/71_bawah.png","LINK")</f>
        <v/>
      </c>
      <c r="G77" t="n">
        <v>0</v>
      </c>
      <c r="H77" t="n">
        <v>53</v>
      </c>
      <c r="I77" t="n">
        <v>15</v>
      </c>
      <c r="J77" t="n">
        <v>0</v>
      </c>
      <c r="K77" t="n">
        <v>48</v>
      </c>
      <c r="L77" t="n">
        <v>20</v>
      </c>
      <c r="M77" t="n">
        <v>0</v>
      </c>
      <c r="N77" t="n">
        <v>47</v>
      </c>
      <c r="O77" t="n">
        <v>19</v>
      </c>
      <c r="P77" t="n">
        <v>0</v>
      </c>
      <c r="Q77" t="n">
        <v>47</v>
      </c>
      <c r="R77" t="n">
        <v>19</v>
      </c>
      <c r="S77" t="n">
        <v>97</v>
      </c>
      <c r="T77" t="n">
        <v>117</v>
      </c>
      <c r="U77" t="n">
        <v>105</v>
      </c>
      <c r="V77" t="n">
        <v>0</v>
      </c>
      <c r="W77" t="n">
        <v>50</v>
      </c>
      <c r="X77" t="n">
        <v>13</v>
      </c>
      <c r="Y77" t="n">
        <v>0</v>
      </c>
      <c r="Z77" t="n">
        <v>48</v>
      </c>
      <c r="AA77" t="n">
        <v>20</v>
      </c>
      <c r="AB77" t="n">
        <v>1</v>
      </c>
      <c r="AC77" t="n">
        <v>50</v>
      </c>
      <c r="AD77" t="n">
        <v>22</v>
      </c>
      <c r="AE77" t="n">
        <v>0</v>
      </c>
      <c r="AF77" t="n">
        <v>58</v>
      </c>
      <c r="AG77" t="n">
        <v>28</v>
      </c>
      <c r="AH77" t="n">
        <v>111</v>
      </c>
      <c r="AI77" t="n">
        <v>128</v>
      </c>
      <c r="AJ77" t="n">
        <v>115</v>
      </c>
      <c r="AK77">
        <f>HYPERLINK("file:///home/hermansyah/Aplikasi%20TA/data/rgbdaun/71.png","LINK")</f>
        <v/>
      </c>
      <c r="AL77" t="n">
        <v>16</v>
      </c>
      <c r="AM77" t="n">
        <v>14</v>
      </c>
      <c r="AN77">
        <f>HYPERLINK("file:///home/hermansyah/Aplikasi%20TA/data/kelilingdaun/71_atas.png","LINK")</f>
        <v/>
      </c>
      <c r="AO77">
        <f>HYPERLINK("file:///home/hermansyah/Aplikasi%20TA/data/kelilingdaun/71_bawah.png","LINK")</f>
        <v/>
      </c>
      <c r="AP77" t="n">
        <v>0.9903552492625547</v>
      </c>
      <c r="AQ77" t="n">
        <v>0.7151589439815479</v>
      </c>
      <c r="AR77" t="n">
        <v>0.03215983932907185</v>
      </c>
      <c r="AS77" t="n">
        <v>4</v>
      </c>
      <c r="AT77" t="n">
        <v>4</v>
      </c>
      <c r="AU77" t="n">
        <v>3</v>
      </c>
    </row>
    <row r="78" spans="1:47">
      <c r="A78" t="n">
        <v>72</v>
      </c>
      <c r="B78" t="s">
        <v>101</v>
      </c>
      <c r="C78" t="n">
        <v>2.5</v>
      </c>
      <c r="D78" t="n">
        <v>2.3</v>
      </c>
      <c r="E78">
        <f>HYPERLINK("file:///home/hermansyah/Aplikasi%20TA/data/luasdaun/72_atas.png","LINK")</f>
        <v/>
      </c>
      <c r="F78">
        <f>HYPERLINK("file:///home/hermansyah/Aplikasi%20TA/data/luasdaun/72_bawah.png","LINK")</f>
        <v/>
      </c>
      <c r="G78" t="n">
        <v>0</v>
      </c>
      <c r="H78" t="n">
        <v>52</v>
      </c>
      <c r="I78" t="n">
        <v>22</v>
      </c>
      <c r="J78" t="n">
        <v>0</v>
      </c>
      <c r="K78" t="n">
        <v>42</v>
      </c>
      <c r="L78" t="n">
        <v>17</v>
      </c>
      <c r="M78" t="n">
        <v>0</v>
      </c>
      <c r="N78" t="n">
        <v>47</v>
      </c>
      <c r="O78" t="n">
        <v>23</v>
      </c>
      <c r="P78" t="n">
        <v>118</v>
      </c>
      <c r="Q78" t="n">
        <v>132</v>
      </c>
      <c r="R78" t="n">
        <v>126</v>
      </c>
      <c r="S78" t="n">
        <v>122</v>
      </c>
      <c r="T78" t="n">
        <v>136</v>
      </c>
      <c r="U78" t="n">
        <v>125</v>
      </c>
      <c r="V78" t="n">
        <v>1</v>
      </c>
      <c r="W78" t="n">
        <v>44</v>
      </c>
      <c r="X78" t="n">
        <v>17</v>
      </c>
      <c r="Y78" t="n">
        <v>0</v>
      </c>
      <c r="Z78" t="n">
        <v>41</v>
      </c>
      <c r="AA78" t="n">
        <v>18</v>
      </c>
      <c r="AB78" t="n">
        <v>0</v>
      </c>
      <c r="AC78" t="n">
        <v>54</v>
      </c>
      <c r="AD78" t="n">
        <v>27</v>
      </c>
      <c r="AE78" t="n">
        <v>120</v>
      </c>
      <c r="AF78" t="n">
        <v>133</v>
      </c>
      <c r="AG78" t="n">
        <v>125</v>
      </c>
      <c r="AH78" t="n">
        <v>124</v>
      </c>
      <c r="AI78" t="n">
        <v>135</v>
      </c>
      <c r="AJ78" t="n">
        <v>125</v>
      </c>
      <c r="AK78">
        <f>HYPERLINK("file:///home/hermansyah/Aplikasi%20TA/data/rgbdaun/72.png","LINK")</f>
        <v/>
      </c>
      <c r="AL78" t="n">
        <v>13</v>
      </c>
      <c r="AM78" t="n">
        <v>11</v>
      </c>
      <c r="AN78">
        <f>HYPERLINK("file:///home/hermansyah/Aplikasi%20TA/data/kelilingdaun/72_atas.png","LINK")</f>
        <v/>
      </c>
      <c r="AO78">
        <f>HYPERLINK("file:///home/hermansyah/Aplikasi%20TA/data/kelilingdaun/72_bawah.png","LINK")</f>
        <v/>
      </c>
      <c r="AP78" t="n">
        <v>0.9903556958901498</v>
      </c>
      <c r="AQ78" t="n">
        <v>0.7138501890841614</v>
      </c>
      <c r="AR78" t="n">
        <v>0.0366817190673793</v>
      </c>
      <c r="AS78" t="n">
        <v>2</v>
      </c>
      <c r="AT78" t="n">
        <v>2</v>
      </c>
      <c r="AU78" t="n">
        <v>3</v>
      </c>
    </row>
    <row r="79" spans="1:47">
      <c r="A79" t="n">
        <v>73</v>
      </c>
      <c r="B79" t="s">
        <v>102</v>
      </c>
      <c r="C79" t="n">
        <v>2.8</v>
      </c>
      <c r="D79" t="n">
        <v>2.7</v>
      </c>
      <c r="E79">
        <f>HYPERLINK("file:///home/hermansyah/Aplikasi%20TA/data/luasdaun/73_atas.png","LINK")</f>
        <v/>
      </c>
      <c r="F79">
        <f>HYPERLINK("file:///home/hermansyah/Aplikasi%20TA/data/luasdaun/73_bawah.png","LINK")</f>
        <v/>
      </c>
      <c r="G79" t="n">
        <v>0</v>
      </c>
      <c r="H79" t="n">
        <v>58</v>
      </c>
      <c r="I79" t="n">
        <v>18</v>
      </c>
      <c r="J79" t="n">
        <v>0</v>
      </c>
      <c r="K79" t="n">
        <v>56</v>
      </c>
      <c r="L79" t="n">
        <v>23</v>
      </c>
      <c r="M79" t="n">
        <v>0</v>
      </c>
      <c r="N79" t="n">
        <v>57</v>
      </c>
      <c r="O79" t="n">
        <v>26</v>
      </c>
      <c r="P79" t="n">
        <v>0</v>
      </c>
      <c r="Q79" t="n">
        <v>60</v>
      </c>
      <c r="R79" t="n">
        <v>29</v>
      </c>
      <c r="S79" t="n">
        <v>119</v>
      </c>
      <c r="T79" t="n">
        <v>133</v>
      </c>
      <c r="U79" t="n">
        <v>121</v>
      </c>
      <c r="V79" t="n">
        <v>0</v>
      </c>
      <c r="W79" t="n">
        <v>51</v>
      </c>
      <c r="X79" t="n">
        <v>14</v>
      </c>
      <c r="Y79" t="n">
        <v>1</v>
      </c>
      <c r="Z79" t="n">
        <v>56</v>
      </c>
      <c r="AA79" t="n">
        <v>23</v>
      </c>
      <c r="AB79" t="n">
        <v>0</v>
      </c>
      <c r="AC79" t="n">
        <v>55</v>
      </c>
      <c r="AD79" t="n">
        <v>22</v>
      </c>
      <c r="AE79" t="n">
        <v>116</v>
      </c>
      <c r="AF79" t="n">
        <v>132</v>
      </c>
      <c r="AG79" t="n">
        <v>121</v>
      </c>
      <c r="AH79" t="n">
        <v>121</v>
      </c>
      <c r="AI79" t="n">
        <v>133</v>
      </c>
      <c r="AJ79" t="n">
        <v>121</v>
      </c>
      <c r="AK79">
        <f>HYPERLINK("file:///home/hermansyah/Aplikasi%20TA/data/rgbdaun/73.png","LINK")</f>
        <v/>
      </c>
      <c r="AL79" t="n">
        <v>14</v>
      </c>
      <c r="AM79" t="n">
        <v>12</v>
      </c>
      <c r="AN79">
        <f>HYPERLINK("file:///home/hermansyah/Aplikasi%20TA/data/kelilingdaun/73_atas.png","LINK")</f>
        <v/>
      </c>
      <c r="AO79">
        <f>HYPERLINK("file:///home/hermansyah/Aplikasi%20TA/data/kelilingdaun/73_bawah.png","LINK")</f>
        <v/>
      </c>
      <c r="AP79" t="n">
        <v>0.9903552528094087</v>
      </c>
      <c r="AQ79" t="n">
        <v>0.7144679629243305</v>
      </c>
      <c r="AR79" t="n">
        <v>0.03461293058258135</v>
      </c>
      <c r="AS79" t="n">
        <v>3</v>
      </c>
      <c r="AT79" t="n">
        <v>3</v>
      </c>
      <c r="AU79" t="n">
        <v>3</v>
      </c>
    </row>
    <row r="80" spans="1:47">
      <c r="A80" t="n">
        <v>74</v>
      </c>
      <c r="B80" t="s">
        <v>103</v>
      </c>
      <c r="C80" t="n">
        <v>3.2</v>
      </c>
      <c r="D80" t="n">
        <v>2.3</v>
      </c>
      <c r="E80">
        <f>HYPERLINK("file:///home/hermansyah/Aplikasi%20TA/data/luasdaun/74_atas.png","LINK")</f>
        <v/>
      </c>
      <c r="F80">
        <f>HYPERLINK("file:///home/hermansyah/Aplikasi%20TA/data/luasdaun/74_bawah.png","LINK")</f>
        <v/>
      </c>
      <c r="G80" t="n">
        <v>0</v>
      </c>
      <c r="H80" t="n">
        <v>50</v>
      </c>
      <c r="I80" t="n">
        <v>12</v>
      </c>
      <c r="J80" t="n">
        <v>0</v>
      </c>
      <c r="K80" t="n">
        <v>48</v>
      </c>
      <c r="L80" t="n">
        <v>15</v>
      </c>
      <c r="M80" t="n">
        <v>0</v>
      </c>
      <c r="N80" t="n">
        <v>58</v>
      </c>
      <c r="O80" t="n">
        <v>27</v>
      </c>
      <c r="P80" t="n">
        <v>116</v>
      </c>
      <c r="Q80" t="n">
        <v>133</v>
      </c>
      <c r="R80" t="n">
        <v>124</v>
      </c>
      <c r="S80" t="n">
        <v>121</v>
      </c>
      <c r="T80" t="n">
        <v>138</v>
      </c>
      <c r="U80" t="n">
        <v>125</v>
      </c>
      <c r="V80" t="n">
        <v>1</v>
      </c>
      <c r="W80" t="n">
        <v>62</v>
      </c>
      <c r="X80" t="n">
        <v>24</v>
      </c>
      <c r="Y80" t="n">
        <v>0</v>
      </c>
      <c r="Z80" t="n">
        <v>60</v>
      </c>
      <c r="AA80" t="n">
        <v>29</v>
      </c>
      <c r="AB80" t="n">
        <v>0</v>
      </c>
      <c r="AC80" t="n">
        <v>60</v>
      </c>
      <c r="AD80" t="n">
        <v>30</v>
      </c>
      <c r="AE80" t="n">
        <v>117</v>
      </c>
      <c r="AF80" t="n">
        <v>132</v>
      </c>
      <c r="AG80" t="n">
        <v>124</v>
      </c>
      <c r="AH80" t="n">
        <v>120</v>
      </c>
      <c r="AI80" t="n">
        <v>135</v>
      </c>
      <c r="AJ80" t="n">
        <v>121</v>
      </c>
      <c r="AK80">
        <f>HYPERLINK("file:///home/hermansyah/Aplikasi%20TA/data/rgbdaun/74.png","LINK")</f>
        <v/>
      </c>
      <c r="AL80" t="n">
        <v>15</v>
      </c>
      <c r="AM80" t="n">
        <v>11</v>
      </c>
      <c r="AN80">
        <f>HYPERLINK("file:///home/hermansyah/Aplikasi%20TA/data/kelilingdaun/74_atas.png","LINK")</f>
        <v/>
      </c>
      <c r="AO80">
        <f>HYPERLINK("file:///home/hermansyah/Aplikasi%20TA/data/kelilingdaun/74_bawah.png","LINK")</f>
        <v/>
      </c>
      <c r="AP80" t="n">
        <v>0.9903566190608893</v>
      </c>
      <c r="AQ80" t="n">
        <v>0.7142513734636629</v>
      </c>
      <c r="AR80" t="n">
        <v>0.03613432667538935</v>
      </c>
      <c r="AS80" t="n">
        <v>3</v>
      </c>
      <c r="AT80" t="n">
        <v>3</v>
      </c>
      <c r="AU80" t="n">
        <v>2</v>
      </c>
    </row>
    <row r="81" spans="1:47">
      <c r="A81" t="n">
        <v>75</v>
      </c>
      <c r="B81" t="s">
        <v>104</v>
      </c>
      <c r="C81" t="n">
        <v>3.4</v>
      </c>
      <c r="D81" t="n">
        <v>3.2</v>
      </c>
      <c r="E81">
        <f>HYPERLINK("file:///home/hermansyah/Aplikasi%20TA/data/luasdaun/75_atas.png","LINK")</f>
        <v/>
      </c>
      <c r="F81">
        <f>HYPERLINK("file:///home/hermansyah/Aplikasi%20TA/data/luasdaun/75_bawah.png","LINK")</f>
        <v/>
      </c>
      <c r="G81" t="n">
        <v>0</v>
      </c>
      <c r="H81" t="n">
        <v>53</v>
      </c>
      <c r="I81" t="n">
        <v>14</v>
      </c>
      <c r="J81" t="n">
        <v>0</v>
      </c>
      <c r="K81" t="n">
        <v>55</v>
      </c>
      <c r="L81" t="n">
        <v>24</v>
      </c>
      <c r="M81" t="n">
        <v>0</v>
      </c>
      <c r="N81" t="n">
        <v>50</v>
      </c>
      <c r="O81" t="n">
        <v>20</v>
      </c>
      <c r="P81" t="n">
        <v>0</v>
      </c>
      <c r="Q81" t="n">
        <v>49</v>
      </c>
      <c r="R81" t="n">
        <v>19</v>
      </c>
      <c r="S81" t="n">
        <v>3</v>
      </c>
      <c r="T81" t="n">
        <v>60</v>
      </c>
      <c r="U81" t="n">
        <v>27</v>
      </c>
      <c r="V81" t="n">
        <v>0</v>
      </c>
      <c r="W81" t="n">
        <v>49</v>
      </c>
      <c r="X81" t="n">
        <v>10</v>
      </c>
      <c r="Y81" t="n">
        <v>0</v>
      </c>
      <c r="Z81" t="n">
        <v>55</v>
      </c>
      <c r="AA81" t="n">
        <v>22</v>
      </c>
      <c r="AB81" t="n">
        <v>0</v>
      </c>
      <c r="AC81" t="n">
        <v>48</v>
      </c>
      <c r="AD81" t="n">
        <v>18</v>
      </c>
      <c r="AE81" t="n">
        <v>0</v>
      </c>
      <c r="AF81" t="n">
        <v>57</v>
      </c>
      <c r="AG81" t="n">
        <v>22</v>
      </c>
      <c r="AH81" t="n">
        <v>114</v>
      </c>
      <c r="AI81" t="n">
        <v>131</v>
      </c>
      <c r="AJ81" t="n">
        <v>118</v>
      </c>
      <c r="AK81">
        <f>HYPERLINK("file:///home/hermansyah/Aplikasi%20TA/data/rgbdaun/75.png","LINK")</f>
        <v/>
      </c>
      <c r="AL81" t="n">
        <v>15</v>
      </c>
      <c r="AM81" t="n">
        <v>14</v>
      </c>
      <c r="AN81">
        <f>HYPERLINK("file:///home/hermansyah/Aplikasi%20TA/data/kelilingdaun/75_atas.png","LINK")</f>
        <v/>
      </c>
      <c r="AO81">
        <f>HYPERLINK("file:///home/hermansyah/Aplikasi%20TA/data/kelilingdaun/75_bawah.png","LINK")</f>
        <v/>
      </c>
      <c r="AP81" t="n">
        <v>0.9903552492309735</v>
      </c>
      <c r="AQ81" t="n">
        <v>0.7198077537008147</v>
      </c>
      <c r="AR81" t="n">
        <v>0.02128317367674332</v>
      </c>
      <c r="AS81" t="n">
        <v>3</v>
      </c>
      <c r="AT81" t="n">
        <v>3</v>
      </c>
      <c r="AU81" t="n">
        <v>3</v>
      </c>
    </row>
    <row r="82" spans="1:47">
      <c r="A82" t="n">
        <v>76</v>
      </c>
      <c r="B82" t="s">
        <v>105</v>
      </c>
      <c r="C82" t="n">
        <v>2.5</v>
      </c>
      <c r="D82" t="n">
        <v>3.3</v>
      </c>
      <c r="E82">
        <f>HYPERLINK("file:///home/hermansyah/Aplikasi%20TA/data/luasdaun/76_atas.png","LINK")</f>
        <v/>
      </c>
      <c r="F82">
        <f>HYPERLINK("file:///home/hermansyah/Aplikasi%20TA/data/luasdaun/76_bawah.png","LINK")</f>
        <v/>
      </c>
      <c r="G82" t="n">
        <v>0</v>
      </c>
      <c r="H82" t="n">
        <v>54</v>
      </c>
      <c r="I82" t="n">
        <v>13</v>
      </c>
      <c r="J82" t="n">
        <v>0</v>
      </c>
      <c r="K82" t="n">
        <v>54</v>
      </c>
      <c r="L82" t="n">
        <v>23</v>
      </c>
      <c r="M82" t="n">
        <v>0</v>
      </c>
      <c r="N82" t="n">
        <v>53</v>
      </c>
      <c r="O82" t="n">
        <v>22</v>
      </c>
      <c r="P82" t="n">
        <v>106</v>
      </c>
      <c r="Q82" t="n">
        <v>125</v>
      </c>
      <c r="R82" t="n">
        <v>116</v>
      </c>
      <c r="S82" t="n">
        <v>117</v>
      </c>
      <c r="T82" t="n">
        <v>134</v>
      </c>
      <c r="U82" t="n">
        <v>121</v>
      </c>
      <c r="V82" t="n">
        <v>0</v>
      </c>
      <c r="W82" t="n">
        <v>56</v>
      </c>
      <c r="X82" t="n">
        <v>17</v>
      </c>
      <c r="Y82" t="n">
        <v>0</v>
      </c>
      <c r="Z82" t="n">
        <v>51</v>
      </c>
      <c r="AA82" t="n">
        <v>18</v>
      </c>
      <c r="AB82" t="n">
        <v>0</v>
      </c>
      <c r="AC82" t="n">
        <v>56</v>
      </c>
      <c r="AD82" t="n">
        <v>25</v>
      </c>
      <c r="AE82" t="n">
        <v>114</v>
      </c>
      <c r="AF82" t="n">
        <v>130</v>
      </c>
      <c r="AG82" t="n">
        <v>119</v>
      </c>
      <c r="AH82" t="n">
        <v>119</v>
      </c>
      <c r="AI82" t="n">
        <v>134</v>
      </c>
      <c r="AJ82" t="n">
        <v>120</v>
      </c>
      <c r="AK82">
        <f>HYPERLINK("file:///home/hermansyah/Aplikasi%20TA/data/rgbdaun/76.png","LINK")</f>
        <v/>
      </c>
      <c r="AL82" t="n">
        <v>15</v>
      </c>
      <c r="AM82" t="n">
        <v>13</v>
      </c>
      <c r="AN82">
        <f>HYPERLINK("file:///home/hermansyah/Aplikasi%20TA/data/kelilingdaun/76_atas.png","LINK")</f>
        <v/>
      </c>
      <c r="AO82">
        <f>HYPERLINK("file:///home/hermansyah/Aplikasi%20TA/data/kelilingdaun/76_bawah.png","LINK")</f>
        <v/>
      </c>
      <c r="AP82" t="n">
        <v>0.9903552491462772</v>
      </c>
      <c r="AQ82" t="n">
        <v>0.7148817561015374</v>
      </c>
      <c r="AR82" t="n">
        <v>0.03611477123021976</v>
      </c>
      <c r="AS82" t="n">
        <v>3</v>
      </c>
      <c r="AT82" t="n">
        <v>3</v>
      </c>
      <c r="AU82" t="n">
        <v>2</v>
      </c>
    </row>
    <row r="83" spans="1:47">
      <c r="A83" t="n">
        <v>77</v>
      </c>
      <c r="B83" t="s">
        <v>106</v>
      </c>
      <c r="C83" t="n">
        <v>2.6</v>
      </c>
      <c r="D83" t="n">
        <v>2.2</v>
      </c>
      <c r="E83">
        <f>HYPERLINK("file:///home/hermansyah/Aplikasi%20TA/data/luasdaun/77_atas.png","LINK")</f>
        <v/>
      </c>
      <c r="F83">
        <f>HYPERLINK("file:///home/hermansyah/Aplikasi%20TA/data/luasdaun/77_bawah.png","LINK")</f>
        <v/>
      </c>
      <c r="G83" t="n">
        <v>0</v>
      </c>
      <c r="H83" t="n">
        <v>45</v>
      </c>
      <c r="I83" t="n">
        <v>17</v>
      </c>
      <c r="J83" t="n">
        <v>0</v>
      </c>
      <c r="K83" t="n">
        <v>41</v>
      </c>
      <c r="L83" t="n">
        <v>18</v>
      </c>
      <c r="M83" t="n">
        <v>0</v>
      </c>
      <c r="N83" t="n">
        <v>47</v>
      </c>
      <c r="O83" t="n">
        <v>23</v>
      </c>
      <c r="P83" t="n">
        <v>120</v>
      </c>
      <c r="Q83" t="n">
        <v>135</v>
      </c>
      <c r="R83" t="n">
        <v>127</v>
      </c>
      <c r="S83" t="n">
        <v>124</v>
      </c>
      <c r="T83" t="n">
        <v>137</v>
      </c>
      <c r="U83" t="n">
        <v>129</v>
      </c>
      <c r="V83" t="n">
        <v>0</v>
      </c>
      <c r="W83" t="n">
        <v>40</v>
      </c>
      <c r="X83" t="n">
        <v>15</v>
      </c>
      <c r="Y83" t="n">
        <v>0</v>
      </c>
      <c r="Z83" t="n">
        <v>43</v>
      </c>
      <c r="AA83" t="n">
        <v>20</v>
      </c>
      <c r="AB83" t="n">
        <v>43</v>
      </c>
      <c r="AC83" t="n">
        <v>92</v>
      </c>
      <c r="AD83" t="n">
        <v>76</v>
      </c>
      <c r="AE83" t="n">
        <v>121</v>
      </c>
      <c r="AF83" t="n">
        <v>136</v>
      </c>
      <c r="AG83" t="n">
        <v>128</v>
      </c>
      <c r="AH83" t="n">
        <v>122</v>
      </c>
      <c r="AI83" t="n">
        <v>136</v>
      </c>
      <c r="AJ83" t="n">
        <v>125</v>
      </c>
      <c r="AK83">
        <f>HYPERLINK("file:///home/hermansyah/Aplikasi%20TA/data/rgbdaun/77.png","LINK")</f>
        <v/>
      </c>
      <c r="AL83" t="n">
        <v>13</v>
      </c>
      <c r="AM83" t="n">
        <v>11</v>
      </c>
      <c r="AN83">
        <f>HYPERLINK("file:///home/hermansyah/Aplikasi%20TA/data/kelilingdaun/77_atas.png","LINK")</f>
        <v/>
      </c>
      <c r="AO83">
        <f>HYPERLINK("file:///home/hermansyah/Aplikasi%20TA/data/kelilingdaun/77_bawah.png","LINK")</f>
        <v/>
      </c>
      <c r="AP83" t="n">
        <v>0.9903571491823921</v>
      </c>
      <c r="AQ83" t="n">
        <v>0.7138501890841614</v>
      </c>
      <c r="AR83" t="n">
        <v>0.04322721654616029</v>
      </c>
      <c r="AS83" t="n">
        <v>3</v>
      </c>
      <c r="AT83" t="n">
        <v>2</v>
      </c>
      <c r="AU83" t="n">
        <v>2</v>
      </c>
    </row>
    <row r="84" spans="1:47">
      <c r="A84" t="n">
        <v>78</v>
      </c>
      <c r="B84" t="s">
        <v>107</v>
      </c>
      <c r="C84" t="n">
        <v>2.9</v>
      </c>
      <c r="D84" t="n">
        <v>2.5</v>
      </c>
      <c r="E84">
        <f>HYPERLINK("file:///home/hermansyah/Aplikasi%20TA/data/luasdaun/78_atas.png","LINK")</f>
        <v/>
      </c>
      <c r="F84">
        <f>HYPERLINK("file:///home/hermansyah/Aplikasi%20TA/data/luasdaun/78_bawah.png","LINK")</f>
        <v/>
      </c>
      <c r="G84" t="n">
        <v>0</v>
      </c>
      <c r="H84" t="n">
        <v>58</v>
      </c>
      <c r="I84" t="n">
        <v>18</v>
      </c>
      <c r="J84" t="n">
        <v>0</v>
      </c>
      <c r="K84" t="n">
        <v>57</v>
      </c>
      <c r="L84" t="n">
        <v>23</v>
      </c>
      <c r="M84" t="n">
        <v>0</v>
      </c>
      <c r="N84" t="n">
        <v>58</v>
      </c>
      <c r="O84" t="n">
        <v>28</v>
      </c>
      <c r="P84" t="n">
        <v>2</v>
      </c>
      <c r="Q84" t="n">
        <v>83</v>
      </c>
      <c r="R84" t="n">
        <v>58</v>
      </c>
      <c r="S84" t="n">
        <v>116</v>
      </c>
      <c r="T84" t="n">
        <v>133</v>
      </c>
      <c r="U84" t="n">
        <v>120</v>
      </c>
      <c r="V84" t="n">
        <v>0</v>
      </c>
      <c r="W84" t="n">
        <v>58</v>
      </c>
      <c r="X84" t="n">
        <v>20</v>
      </c>
      <c r="Y84" t="n">
        <v>0</v>
      </c>
      <c r="Z84" t="n">
        <v>59</v>
      </c>
      <c r="AA84" t="n">
        <v>28</v>
      </c>
      <c r="AB84" t="n">
        <v>0</v>
      </c>
      <c r="AC84" t="n">
        <v>71</v>
      </c>
      <c r="AD84" t="n">
        <v>44</v>
      </c>
      <c r="AE84" t="n">
        <v>116</v>
      </c>
      <c r="AF84" t="n">
        <v>131</v>
      </c>
      <c r="AG84" t="n">
        <v>123</v>
      </c>
      <c r="AH84" t="n">
        <v>119</v>
      </c>
      <c r="AI84" t="n">
        <v>133</v>
      </c>
      <c r="AJ84" t="n">
        <v>121</v>
      </c>
      <c r="AK84">
        <f>HYPERLINK("file:///home/hermansyah/Aplikasi%20TA/data/rgbdaun/78.png","LINK")</f>
        <v/>
      </c>
      <c r="AL84" t="n">
        <v>15</v>
      </c>
      <c r="AM84" t="n">
        <v>12</v>
      </c>
      <c r="AN84">
        <f>HYPERLINK("file:///home/hermansyah/Aplikasi%20TA/data/kelilingdaun/78_atas.png","LINK")</f>
        <v/>
      </c>
      <c r="AO84">
        <f>HYPERLINK("file:///home/hermansyah/Aplikasi%20TA/data/kelilingdaun/78_bawah.png","LINK")</f>
        <v/>
      </c>
      <c r="AP84" t="n">
        <v>0.9903553135323589</v>
      </c>
      <c r="AQ84" t="n">
        <v>0.7145666201942824</v>
      </c>
      <c r="AR84" t="n">
        <v>0.03483592311655732</v>
      </c>
      <c r="AS84" t="n">
        <v>3</v>
      </c>
      <c r="AT84" t="n">
        <v>3</v>
      </c>
      <c r="AU84" t="n">
        <v>3</v>
      </c>
    </row>
    <row r="85" spans="1:47">
      <c r="A85" t="n">
        <v>79</v>
      </c>
      <c r="B85" t="s">
        <v>108</v>
      </c>
      <c r="C85" t="n">
        <v>3.6</v>
      </c>
      <c r="D85" t="n">
        <v>3.9</v>
      </c>
      <c r="E85">
        <f>HYPERLINK("file:///home/hermansyah/Aplikasi%20TA/data/luasdaun/79_atas.png","LINK")</f>
        <v/>
      </c>
      <c r="F85">
        <f>HYPERLINK("file:///home/hermansyah/Aplikasi%20TA/data/luasdaun/79_bawah.png","LINK")</f>
        <v/>
      </c>
      <c r="G85" t="n">
        <v>0</v>
      </c>
      <c r="H85" t="n">
        <v>29</v>
      </c>
      <c r="I85" t="n">
        <v>6</v>
      </c>
      <c r="J85" t="n">
        <v>2</v>
      </c>
      <c r="K85" t="n">
        <v>33</v>
      </c>
      <c r="L85" t="n">
        <v>12</v>
      </c>
      <c r="M85" t="n">
        <v>0</v>
      </c>
      <c r="N85" t="n">
        <v>34</v>
      </c>
      <c r="O85" t="n">
        <v>14</v>
      </c>
      <c r="P85" t="n">
        <v>0</v>
      </c>
      <c r="Q85" t="n">
        <v>34</v>
      </c>
      <c r="R85" t="n">
        <v>10</v>
      </c>
      <c r="S85" t="n">
        <v>88</v>
      </c>
      <c r="T85" t="n">
        <v>108</v>
      </c>
      <c r="U85" t="n">
        <v>95</v>
      </c>
      <c r="V85" t="n">
        <v>2</v>
      </c>
      <c r="W85" t="n">
        <v>34</v>
      </c>
      <c r="X85" t="n">
        <v>9</v>
      </c>
      <c r="Y85" t="n">
        <v>1</v>
      </c>
      <c r="Z85" t="n">
        <v>34</v>
      </c>
      <c r="AA85" t="n">
        <v>13</v>
      </c>
      <c r="AB85" t="n">
        <v>1</v>
      </c>
      <c r="AC85" t="n">
        <v>36</v>
      </c>
      <c r="AD85" t="n">
        <v>16</v>
      </c>
      <c r="AE85" t="n">
        <v>0</v>
      </c>
      <c r="AF85" t="n">
        <v>42</v>
      </c>
      <c r="AG85" t="n">
        <v>15</v>
      </c>
      <c r="AH85" t="n">
        <v>100</v>
      </c>
      <c r="AI85" t="n">
        <v>117</v>
      </c>
      <c r="AJ85" t="n">
        <v>104</v>
      </c>
      <c r="AK85">
        <f>HYPERLINK("file:///home/hermansyah/Aplikasi%20TA/data/rgbdaun/79.png","LINK")</f>
        <v/>
      </c>
      <c r="AL85" t="n">
        <v>16</v>
      </c>
      <c r="AM85" t="n">
        <v>14</v>
      </c>
      <c r="AN85">
        <f>HYPERLINK("file:///home/hermansyah/Aplikasi%20TA/data/kelilingdaun/79_atas.png","LINK")</f>
        <v/>
      </c>
      <c r="AO85">
        <f>HYPERLINK("file:///home/hermansyah/Aplikasi%20TA/data/kelilingdaun/79_bawah.png","LINK")</f>
        <v/>
      </c>
      <c r="AP85" t="n">
        <v>0.9903552492640217</v>
      </c>
      <c r="AQ85" t="n">
        <v>0.7151589439815479</v>
      </c>
      <c r="AR85" t="n">
        <v>0.03561916242122835</v>
      </c>
      <c r="AS85" t="n">
        <v>4</v>
      </c>
      <c r="AT85" t="n">
        <v>4</v>
      </c>
      <c r="AU85" t="n">
        <v>3</v>
      </c>
    </row>
    <row r="86" spans="1:47">
      <c r="A86" t="n">
        <v>80</v>
      </c>
      <c r="B86" t="s">
        <v>109</v>
      </c>
      <c r="C86" t="n">
        <v>4.7</v>
      </c>
      <c r="D86" t="n">
        <v>4</v>
      </c>
      <c r="E86">
        <f>HYPERLINK("file:///home/hermansyah/Aplikasi%20TA/data/luasdaun/80_atas.png","LINK")</f>
        <v/>
      </c>
      <c r="F86">
        <f>HYPERLINK("file:///home/hermansyah/Aplikasi%20TA/data/luasdaun/80_bawah.png","LINK")</f>
        <v/>
      </c>
      <c r="G86" t="n">
        <v>0</v>
      </c>
      <c r="H86" t="n">
        <v>31</v>
      </c>
      <c r="I86" t="n">
        <v>12</v>
      </c>
      <c r="J86" t="n">
        <v>4</v>
      </c>
      <c r="K86" t="n">
        <v>37</v>
      </c>
      <c r="L86" t="n">
        <v>22</v>
      </c>
      <c r="M86" t="n">
        <v>0</v>
      </c>
      <c r="N86" t="n">
        <v>31</v>
      </c>
      <c r="O86" t="n">
        <v>16</v>
      </c>
      <c r="P86" t="n">
        <v>0</v>
      </c>
      <c r="Q86" t="n">
        <v>37</v>
      </c>
      <c r="R86" t="n">
        <v>16</v>
      </c>
      <c r="S86" t="n">
        <v>0</v>
      </c>
      <c r="T86" t="n">
        <v>42</v>
      </c>
      <c r="U86" t="n">
        <v>19</v>
      </c>
      <c r="V86" t="n">
        <v>1</v>
      </c>
      <c r="W86" t="n">
        <v>28</v>
      </c>
      <c r="X86" t="n">
        <v>12</v>
      </c>
      <c r="Y86" t="n">
        <v>0</v>
      </c>
      <c r="Z86" t="n">
        <v>33</v>
      </c>
      <c r="AA86" t="n">
        <v>16</v>
      </c>
      <c r="AB86" t="n">
        <v>0</v>
      </c>
      <c r="AC86" t="n">
        <v>36</v>
      </c>
      <c r="AD86" t="n">
        <v>16</v>
      </c>
      <c r="AE86" t="n">
        <v>0</v>
      </c>
      <c r="AF86" t="n">
        <v>43</v>
      </c>
      <c r="AG86" t="n">
        <v>20</v>
      </c>
      <c r="AH86" t="n">
        <v>93</v>
      </c>
      <c r="AI86" t="n">
        <v>110</v>
      </c>
      <c r="AJ86" t="n">
        <v>101</v>
      </c>
      <c r="AK86">
        <f>HYPERLINK("file:///home/hermansyah/Aplikasi%20TA/data/rgbdaun/80.png","LINK")</f>
        <v/>
      </c>
      <c r="AL86" t="n">
        <v>16</v>
      </c>
      <c r="AM86" t="n">
        <v>15</v>
      </c>
      <c r="AN86">
        <f>HYPERLINK("file:///home/hermansyah/Aplikasi%20TA/data/kelilingdaun/80_atas.png","LINK")</f>
        <v/>
      </c>
      <c r="AO86">
        <f>HYPERLINK("file:///home/hermansyah/Aplikasi%20TA/data/kelilingdaun/80_bawah.png","LINK")</f>
        <v/>
      </c>
      <c r="AP86" t="n">
        <v>0.9903552492665882</v>
      </c>
      <c r="AQ86" t="n">
        <v>0.718538929507713</v>
      </c>
      <c r="AR86" t="n">
        <v>0.033995625423228</v>
      </c>
      <c r="AS86" t="n">
        <v>4</v>
      </c>
      <c r="AT86" t="n">
        <v>4</v>
      </c>
      <c r="AU86" t="n">
        <v>4</v>
      </c>
    </row>
    <row r="87" spans="1:47">
      <c r="A87" t="n">
        <v>81</v>
      </c>
      <c r="B87" t="s">
        <v>110</v>
      </c>
      <c r="C87" t="n">
        <v>4.9</v>
      </c>
      <c r="D87" t="n">
        <v>3.6</v>
      </c>
      <c r="E87">
        <f>HYPERLINK("file:///home/hermansyah/Aplikasi%20TA/data/luasdaun/81_atas.png","LINK")</f>
        <v/>
      </c>
      <c r="F87">
        <f>HYPERLINK("file:///home/hermansyah/Aplikasi%20TA/data/luasdaun/81_bawah.png","LINK")</f>
        <v/>
      </c>
      <c r="G87" t="n">
        <v>1</v>
      </c>
      <c r="H87" t="n">
        <v>31</v>
      </c>
      <c r="I87" t="n">
        <v>6</v>
      </c>
      <c r="J87" t="n">
        <v>1</v>
      </c>
      <c r="K87" t="n">
        <v>37</v>
      </c>
      <c r="L87" t="n">
        <v>13</v>
      </c>
      <c r="M87" t="n">
        <v>4</v>
      </c>
      <c r="N87" t="n">
        <v>50</v>
      </c>
      <c r="O87" t="n">
        <v>27</v>
      </c>
      <c r="P87" t="n">
        <v>2</v>
      </c>
      <c r="Q87" t="n">
        <v>45</v>
      </c>
      <c r="R87" t="n">
        <v>18</v>
      </c>
      <c r="S87" t="n">
        <v>0</v>
      </c>
      <c r="T87" t="n">
        <v>45</v>
      </c>
      <c r="U87" t="n">
        <v>16</v>
      </c>
      <c r="V87" t="n">
        <v>3</v>
      </c>
      <c r="W87" t="n">
        <v>35</v>
      </c>
      <c r="X87" t="n">
        <v>10</v>
      </c>
      <c r="Y87" t="n">
        <v>1</v>
      </c>
      <c r="Z87" t="n">
        <v>35</v>
      </c>
      <c r="AA87" t="n">
        <v>11</v>
      </c>
      <c r="AB87" t="n">
        <v>0</v>
      </c>
      <c r="AC87" t="n">
        <v>40</v>
      </c>
      <c r="AD87" t="n">
        <v>15</v>
      </c>
      <c r="AE87" t="n">
        <v>0</v>
      </c>
      <c r="AF87" t="n">
        <v>43</v>
      </c>
      <c r="AG87" t="n">
        <v>16</v>
      </c>
      <c r="AH87" t="n">
        <v>109</v>
      </c>
      <c r="AI87" t="n">
        <v>123</v>
      </c>
      <c r="AJ87" t="n">
        <v>111</v>
      </c>
      <c r="AK87">
        <f>HYPERLINK("file:///home/hermansyah/Aplikasi%20TA/data/rgbdaun/81.png","LINK")</f>
        <v/>
      </c>
      <c r="AL87" t="n">
        <v>16</v>
      </c>
      <c r="AM87" t="n">
        <v>14</v>
      </c>
      <c r="AN87">
        <f>HYPERLINK("file:///home/hermansyah/Aplikasi%20TA/data/kelilingdaun/81_atas.png","LINK")</f>
        <v/>
      </c>
      <c r="AO87">
        <f>HYPERLINK("file:///home/hermansyah/Aplikasi%20TA/data/kelilingdaun/81_bawah.png","LINK")</f>
        <v/>
      </c>
      <c r="AP87" t="n">
        <v>0.9903552492675317</v>
      </c>
      <c r="AQ87" t="n">
        <v>0.7151589439815479</v>
      </c>
      <c r="AR87" t="n">
        <v>0.006894946002892035</v>
      </c>
      <c r="AS87" t="n">
        <v>4</v>
      </c>
      <c r="AT87" t="n">
        <v>4</v>
      </c>
      <c r="AU87" t="n">
        <v>4</v>
      </c>
    </row>
    <row r="88" spans="1:47">
      <c r="A88" t="n">
        <v>82</v>
      </c>
      <c r="B88" t="s">
        <v>111</v>
      </c>
      <c r="C88" t="n">
        <v>5.100000000000001</v>
      </c>
      <c r="D88" t="n">
        <v>3.9</v>
      </c>
      <c r="E88">
        <f>HYPERLINK("file:///home/hermansyah/Aplikasi%20TA/data/luasdaun/82_atas.png","LINK")</f>
        <v/>
      </c>
      <c r="F88">
        <f>HYPERLINK("file:///home/hermansyah/Aplikasi%20TA/data/luasdaun/82_bawah.png","LINK")</f>
        <v/>
      </c>
      <c r="G88" t="n">
        <v>3</v>
      </c>
      <c r="H88" t="n">
        <v>29</v>
      </c>
      <c r="I88" t="n">
        <v>11</v>
      </c>
      <c r="J88" t="n">
        <v>2</v>
      </c>
      <c r="K88" t="n">
        <v>34</v>
      </c>
      <c r="L88" t="n">
        <v>17</v>
      </c>
      <c r="M88" t="n">
        <v>5</v>
      </c>
      <c r="N88" t="n">
        <v>37</v>
      </c>
      <c r="O88" t="n">
        <v>20</v>
      </c>
      <c r="P88" t="n">
        <v>0</v>
      </c>
      <c r="Q88" t="n">
        <v>29</v>
      </c>
      <c r="R88" t="n">
        <v>13</v>
      </c>
      <c r="S88" t="n">
        <v>1</v>
      </c>
      <c r="T88" t="n">
        <v>34</v>
      </c>
      <c r="U88" t="n">
        <v>13</v>
      </c>
      <c r="V88" t="n">
        <v>3</v>
      </c>
      <c r="W88" t="n">
        <v>26</v>
      </c>
      <c r="X88" t="n">
        <v>11</v>
      </c>
      <c r="Y88" t="n">
        <v>1</v>
      </c>
      <c r="Z88" t="n">
        <v>30</v>
      </c>
      <c r="AA88" t="n">
        <v>14</v>
      </c>
      <c r="AB88" t="n">
        <v>1</v>
      </c>
      <c r="AC88" t="n">
        <v>33</v>
      </c>
      <c r="AD88" t="n">
        <v>16</v>
      </c>
      <c r="AE88" t="n">
        <v>0</v>
      </c>
      <c r="AF88" t="n">
        <v>31</v>
      </c>
      <c r="AG88" t="n">
        <v>11</v>
      </c>
      <c r="AH88" t="n">
        <v>89</v>
      </c>
      <c r="AI88" t="n">
        <v>104</v>
      </c>
      <c r="AJ88" t="n">
        <v>96</v>
      </c>
      <c r="AK88">
        <f>HYPERLINK("file:///home/hermansyah/Aplikasi%20TA/data/rgbdaun/82.png","LINK")</f>
        <v/>
      </c>
      <c r="AL88" t="n">
        <v>17</v>
      </c>
      <c r="AM88" t="n">
        <v>17</v>
      </c>
      <c r="AN88">
        <f>HYPERLINK("file:///home/hermansyah/Aplikasi%20TA/data/kelilingdaun/82_atas.png","LINK")</f>
        <v/>
      </c>
      <c r="AO88">
        <f>HYPERLINK("file:///home/hermansyah/Aplikasi%20TA/data/kelilingdaun/82_bawah.png","LINK")</f>
        <v/>
      </c>
      <c r="AP88" t="n">
        <v>0.9903552492667628</v>
      </c>
      <c r="AQ88" t="n">
        <v>0.8136871866120295</v>
      </c>
      <c r="AR88" t="n">
        <v>0.008706746328115968</v>
      </c>
      <c r="AS88" t="n">
        <v>4</v>
      </c>
      <c r="AT88" t="n">
        <v>4</v>
      </c>
      <c r="AU88" t="n">
        <v>2</v>
      </c>
    </row>
    <row r="89" spans="1:47">
      <c r="A89" t="n">
        <v>83</v>
      </c>
      <c r="B89" t="s">
        <v>112</v>
      </c>
      <c r="C89" t="n">
        <v>4.7</v>
      </c>
      <c r="D89" t="n">
        <v>3.6</v>
      </c>
      <c r="E89">
        <f>HYPERLINK("file:///home/hermansyah/Aplikasi%20TA/data/luasdaun/83_atas.png","LINK")</f>
        <v/>
      </c>
      <c r="F89">
        <f>HYPERLINK("file:///home/hermansyah/Aplikasi%20TA/data/luasdaun/83_bawah.png","LINK")</f>
        <v/>
      </c>
      <c r="G89" t="n">
        <v>4</v>
      </c>
      <c r="H89" t="n">
        <v>32</v>
      </c>
      <c r="I89" t="n">
        <v>13</v>
      </c>
      <c r="J89" t="n">
        <v>5</v>
      </c>
      <c r="K89" t="n">
        <v>31</v>
      </c>
      <c r="L89" t="n">
        <v>18</v>
      </c>
      <c r="M89" t="n">
        <v>7</v>
      </c>
      <c r="N89" t="n">
        <v>33</v>
      </c>
      <c r="O89" t="n">
        <v>19</v>
      </c>
      <c r="P89" t="n">
        <v>0</v>
      </c>
      <c r="Q89" t="n">
        <v>27</v>
      </c>
      <c r="R89" t="n">
        <v>11</v>
      </c>
      <c r="S89" t="n">
        <v>0</v>
      </c>
      <c r="T89" t="n">
        <v>30</v>
      </c>
      <c r="U89" t="n">
        <v>11</v>
      </c>
      <c r="V89" t="n">
        <v>3</v>
      </c>
      <c r="W89" t="n">
        <v>26</v>
      </c>
      <c r="X89" t="n">
        <v>11</v>
      </c>
      <c r="Y89" t="n">
        <v>5</v>
      </c>
      <c r="Z89" t="n">
        <v>28</v>
      </c>
      <c r="AA89" t="n">
        <v>14</v>
      </c>
      <c r="AB89" t="n">
        <v>2</v>
      </c>
      <c r="AC89" t="n">
        <v>31</v>
      </c>
      <c r="AD89" t="n">
        <v>15</v>
      </c>
      <c r="AE89" t="n">
        <v>3</v>
      </c>
      <c r="AF89" t="n">
        <v>35</v>
      </c>
      <c r="AG89" t="n">
        <v>16</v>
      </c>
      <c r="AH89" t="n">
        <v>8</v>
      </c>
      <c r="AI89" t="n">
        <v>45</v>
      </c>
      <c r="AJ89" t="n">
        <v>25</v>
      </c>
      <c r="AK89">
        <f>HYPERLINK("file:///home/hermansyah/Aplikasi%20TA/data/rgbdaun/83.png","LINK")</f>
        <v/>
      </c>
      <c r="AL89" t="n">
        <v>16</v>
      </c>
      <c r="AM89" t="n">
        <v>14</v>
      </c>
      <c r="AN89">
        <f>HYPERLINK("file:///home/hermansyah/Aplikasi%20TA/data/kelilingdaun/83_atas.png","LINK")</f>
        <v/>
      </c>
      <c r="AO89">
        <f>HYPERLINK("file:///home/hermansyah/Aplikasi%20TA/data/kelilingdaun/83_bawah.png","LINK")</f>
        <v/>
      </c>
      <c r="AP89" t="n">
        <v>0.9903552492661656</v>
      </c>
      <c r="AQ89" t="n">
        <v>0.7151589439815479</v>
      </c>
      <c r="AR89" t="n">
        <v>2.929632525167284e-07</v>
      </c>
      <c r="AS89" t="n">
        <v>4</v>
      </c>
      <c r="AT89" t="n">
        <v>4</v>
      </c>
      <c r="AU89" t="n">
        <v>4</v>
      </c>
    </row>
    <row r="90" spans="1:47">
      <c r="A90" t="n">
        <v>84</v>
      </c>
      <c r="B90" t="s">
        <v>113</v>
      </c>
      <c r="C90" t="n">
        <v>5.5</v>
      </c>
      <c r="D90" t="n">
        <v>4.3</v>
      </c>
      <c r="E90">
        <f>HYPERLINK("file:///home/hermansyah/Aplikasi%20TA/data/luasdaun/84_atas.png","LINK")</f>
        <v/>
      </c>
      <c r="F90">
        <f>HYPERLINK("file:///home/hermansyah/Aplikasi%20TA/data/luasdaun/84_bawah.png","LINK")</f>
        <v/>
      </c>
      <c r="G90" t="n">
        <v>4</v>
      </c>
      <c r="H90" t="n">
        <v>29</v>
      </c>
      <c r="I90" t="n">
        <v>9</v>
      </c>
      <c r="J90" t="n">
        <v>7</v>
      </c>
      <c r="K90" t="n">
        <v>34</v>
      </c>
      <c r="L90" t="n">
        <v>18</v>
      </c>
      <c r="M90" t="n">
        <v>2</v>
      </c>
      <c r="N90" t="n">
        <v>28</v>
      </c>
      <c r="O90" t="n">
        <v>14</v>
      </c>
      <c r="P90" t="n">
        <v>3</v>
      </c>
      <c r="Q90" t="n">
        <v>29</v>
      </c>
      <c r="R90" t="n">
        <v>13</v>
      </c>
      <c r="S90" t="n">
        <v>3</v>
      </c>
      <c r="T90" t="n">
        <v>26</v>
      </c>
      <c r="U90" t="n">
        <v>11</v>
      </c>
      <c r="V90" t="n">
        <v>3</v>
      </c>
      <c r="W90" t="n">
        <v>34</v>
      </c>
      <c r="X90" t="n">
        <v>13</v>
      </c>
      <c r="Y90" t="n">
        <v>3</v>
      </c>
      <c r="Z90" t="n">
        <v>30</v>
      </c>
      <c r="AA90" t="n">
        <v>14</v>
      </c>
      <c r="AB90" t="n">
        <v>3</v>
      </c>
      <c r="AC90" t="n">
        <v>32</v>
      </c>
      <c r="AD90" t="n">
        <v>16</v>
      </c>
      <c r="AE90" t="n">
        <v>1</v>
      </c>
      <c r="AF90" t="n">
        <v>28</v>
      </c>
      <c r="AG90" t="n">
        <v>12</v>
      </c>
      <c r="AH90" t="n">
        <v>2</v>
      </c>
      <c r="AI90" t="n">
        <v>30</v>
      </c>
      <c r="AJ90" t="n">
        <v>11</v>
      </c>
      <c r="AK90">
        <f>HYPERLINK("file:///home/hermansyah/Aplikasi%20TA/data/rgbdaun/84.png","LINK")</f>
        <v/>
      </c>
      <c r="AL90" t="n">
        <v>19</v>
      </c>
      <c r="AM90" t="n">
        <v>15</v>
      </c>
      <c r="AN90">
        <f>HYPERLINK("file:///home/hermansyah/Aplikasi%20TA/data/kelilingdaun/84_atas.png","LINK")</f>
        <v/>
      </c>
      <c r="AO90">
        <f>HYPERLINK("file:///home/hermansyah/Aplikasi%20TA/data/kelilingdaun/84_bawah.png","LINK")</f>
        <v/>
      </c>
      <c r="AP90" t="n">
        <v>0.9903552492670251</v>
      </c>
      <c r="AQ90" t="n">
        <v>0.7154236711845469</v>
      </c>
      <c r="AR90" t="n">
        <v>5.393137928204412e-08</v>
      </c>
      <c r="AS90" t="n">
        <v>5</v>
      </c>
      <c r="AT90" t="n">
        <v>4</v>
      </c>
      <c r="AU90" t="n">
        <v>4</v>
      </c>
    </row>
    <row r="91" spans="1:47">
      <c r="A91" t="n">
        <v>85</v>
      </c>
      <c r="B91" t="s">
        <v>114</v>
      </c>
      <c r="C91" t="n">
        <v>5.100000000000001</v>
      </c>
      <c r="D91" t="n">
        <v>4</v>
      </c>
      <c r="E91">
        <f>HYPERLINK("file:///home/hermansyah/Aplikasi%20TA/data/luasdaun/85_atas.png","LINK")</f>
        <v/>
      </c>
      <c r="F91">
        <f>HYPERLINK("file:///home/hermansyah/Aplikasi%20TA/data/luasdaun/85_bawah.png","LINK")</f>
        <v/>
      </c>
      <c r="G91" t="n">
        <v>0</v>
      </c>
      <c r="H91" t="n">
        <v>36</v>
      </c>
      <c r="I91" t="n">
        <v>10</v>
      </c>
      <c r="J91" t="n">
        <v>3</v>
      </c>
      <c r="K91" t="n">
        <v>38</v>
      </c>
      <c r="L91" t="n">
        <v>18</v>
      </c>
      <c r="M91" t="n">
        <v>3</v>
      </c>
      <c r="N91" t="n">
        <v>41</v>
      </c>
      <c r="O91" t="n">
        <v>23</v>
      </c>
      <c r="P91" t="n">
        <v>1</v>
      </c>
      <c r="Q91" t="n">
        <v>36</v>
      </c>
      <c r="R91" t="n">
        <v>16</v>
      </c>
      <c r="S91" t="n">
        <v>2</v>
      </c>
      <c r="T91" t="n">
        <v>32</v>
      </c>
      <c r="U91" t="n">
        <v>13</v>
      </c>
      <c r="V91" t="n">
        <v>4</v>
      </c>
      <c r="W91" t="n">
        <v>40</v>
      </c>
      <c r="X91" t="n">
        <v>16</v>
      </c>
      <c r="Y91" t="n">
        <v>1</v>
      </c>
      <c r="Z91" t="n">
        <v>33</v>
      </c>
      <c r="AA91" t="n">
        <v>14</v>
      </c>
      <c r="AB91" t="n">
        <v>2</v>
      </c>
      <c r="AC91" t="n">
        <v>37</v>
      </c>
      <c r="AD91" t="n">
        <v>17</v>
      </c>
      <c r="AE91" t="n">
        <v>0</v>
      </c>
      <c r="AF91" t="n">
        <v>37</v>
      </c>
      <c r="AG91" t="n">
        <v>15</v>
      </c>
      <c r="AH91" t="n">
        <v>1</v>
      </c>
      <c r="AI91" t="n">
        <v>34</v>
      </c>
      <c r="AJ91" t="n">
        <v>13</v>
      </c>
      <c r="AK91">
        <f>HYPERLINK("file:///home/hermansyah/Aplikasi%20TA/data/rgbdaun/85.png","LINK")</f>
        <v/>
      </c>
      <c r="AL91" t="n">
        <v>21</v>
      </c>
      <c r="AM91" t="n">
        <v>15</v>
      </c>
      <c r="AN91">
        <f>HYPERLINK("file:///home/hermansyah/Aplikasi%20TA/data/kelilingdaun/85_atas.png","LINK")</f>
        <v/>
      </c>
      <c r="AO91">
        <f>HYPERLINK("file:///home/hermansyah/Aplikasi%20TA/data/kelilingdaun/85_bawah.png","LINK")</f>
        <v/>
      </c>
      <c r="AP91" t="n">
        <v>0.9903552492668181</v>
      </c>
      <c r="AQ91" t="n">
        <v>0.7155046454634436</v>
      </c>
      <c r="AR91" t="n">
        <v>2.6942269315638e-08</v>
      </c>
      <c r="AS91" t="n">
        <v>4</v>
      </c>
      <c r="AT91" t="n">
        <v>5</v>
      </c>
      <c r="AU91" t="n">
        <v>4</v>
      </c>
    </row>
    <row r="92" spans="1:47">
      <c r="A92" t="n">
        <v>86</v>
      </c>
      <c r="B92" t="s">
        <v>115</v>
      </c>
      <c r="C92" t="n">
        <v>5.7</v>
      </c>
      <c r="D92" t="n">
        <v>3.8</v>
      </c>
      <c r="E92">
        <f>HYPERLINK("file:///home/hermansyah/Aplikasi%20TA/data/luasdaun/86_atas.png","LINK")</f>
        <v/>
      </c>
      <c r="F92">
        <f>HYPERLINK("file:///home/hermansyah/Aplikasi%20TA/data/luasdaun/86_bawah.png","LINK")</f>
        <v/>
      </c>
      <c r="G92" t="n">
        <v>2</v>
      </c>
      <c r="H92" t="n">
        <v>31</v>
      </c>
      <c r="I92" t="n">
        <v>6</v>
      </c>
      <c r="J92" t="n">
        <v>3</v>
      </c>
      <c r="K92" t="n">
        <v>36</v>
      </c>
      <c r="L92" t="n">
        <v>15</v>
      </c>
      <c r="M92" t="n">
        <v>0</v>
      </c>
      <c r="N92" t="n">
        <v>35</v>
      </c>
      <c r="O92" t="n">
        <v>13</v>
      </c>
      <c r="P92" t="n">
        <v>0</v>
      </c>
      <c r="Q92" t="n">
        <v>31</v>
      </c>
      <c r="R92" t="n">
        <v>10</v>
      </c>
      <c r="S92" t="n">
        <v>0</v>
      </c>
      <c r="T92" t="n">
        <v>35</v>
      </c>
      <c r="U92" t="n">
        <v>9</v>
      </c>
      <c r="V92" t="n">
        <v>2</v>
      </c>
      <c r="W92" t="n">
        <v>37</v>
      </c>
      <c r="X92" t="n">
        <v>10</v>
      </c>
      <c r="Y92" t="n">
        <v>0</v>
      </c>
      <c r="Z92" t="n">
        <v>33</v>
      </c>
      <c r="AA92" t="n">
        <v>9</v>
      </c>
      <c r="AB92" t="n">
        <v>0</v>
      </c>
      <c r="AC92" t="n">
        <v>38</v>
      </c>
      <c r="AD92" t="n">
        <v>16</v>
      </c>
      <c r="AE92" t="n">
        <v>0</v>
      </c>
      <c r="AF92" t="n">
        <v>38</v>
      </c>
      <c r="AG92" t="n">
        <v>11</v>
      </c>
      <c r="AH92" t="n">
        <v>0</v>
      </c>
      <c r="AI92" t="n">
        <v>42</v>
      </c>
      <c r="AJ92" t="n">
        <v>13</v>
      </c>
      <c r="AK92">
        <f>HYPERLINK("file:///home/hermansyah/Aplikasi%20TA/data/rgbdaun/86.png","LINK")</f>
        <v/>
      </c>
      <c r="AL92" t="n">
        <v>20</v>
      </c>
      <c r="AM92" t="n">
        <v>15</v>
      </c>
      <c r="AN92">
        <f>HYPERLINK("file:///home/hermansyah/Aplikasi%20TA/data/kelilingdaun/86_atas.png","LINK")</f>
        <v/>
      </c>
      <c r="AO92">
        <f>HYPERLINK("file:///home/hermansyah/Aplikasi%20TA/data/kelilingdaun/86_bawah.png","LINK")</f>
        <v/>
      </c>
      <c r="AP92" t="n">
        <v>0.9903552492694844</v>
      </c>
      <c r="AQ92" t="n">
        <v>0.7154673625472637</v>
      </c>
      <c r="AR92" t="n">
        <v>1.741790323337726e-07</v>
      </c>
      <c r="AS92" t="n">
        <v>4</v>
      </c>
      <c r="AT92" t="n">
        <v>4</v>
      </c>
      <c r="AU92" t="n">
        <v>5</v>
      </c>
    </row>
    <row r="93" spans="1:47">
      <c r="A93" t="n">
        <v>87</v>
      </c>
      <c r="B93" t="s">
        <v>116</v>
      </c>
      <c r="C93" t="n">
        <v>5.600000000000001</v>
      </c>
      <c r="D93" t="n">
        <v>4</v>
      </c>
      <c r="E93">
        <f>HYPERLINK("file:///home/hermansyah/Aplikasi%20TA/data/luasdaun/87_atas.png","LINK")</f>
        <v/>
      </c>
      <c r="F93">
        <f>HYPERLINK("file:///home/hermansyah/Aplikasi%20TA/data/luasdaun/87_bawah.png","LINK")</f>
        <v/>
      </c>
      <c r="G93" t="n">
        <v>4</v>
      </c>
      <c r="H93" t="n">
        <v>52</v>
      </c>
      <c r="I93" t="n">
        <v>23</v>
      </c>
      <c r="J93" t="n">
        <v>3</v>
      </c>
      <c r="K93" t="n">
        <v>42</v>
      </c>
      <c r="L93" t="n">
        <v>17</v>
      </c>
      <c r="M93" t="n">
        <v>0</v>
      </c>
      <c r="N93" t="n">
        <v>44</v>
      </c>
      <c r="O93" t="n">
        <v>25</v>
      </c>
      <c r="P93" t="n">
        <v>0</v>
      </c>
      <c r="Q93" t="n">
        <v>40</v>
      </c>
      <c r="R93" t="n">
        <v>13</v>
      </c>
      <c r="S93" t="n">
        <v>0</v>
      </c>
      <c r="T93" t="n">
        <v>46</v>
      </c>
      <c r="U93" t="n">
        <v>17</v>
      </c>
      <c r="V93" t="n">
        <v>1</v>
      </c>
      <c r="W93" t="n">
        <v>33</v>
      </c>
      <c r="X93" t="n">
        <v>8</v>
      </c>
      <c r="Y93" t="n">
        <v>2</v>
      </c>
      <c r="Z93" t="n">
        <v>36</v>
      </c>
      <c r="AA93" t="n">
        <v>12</v>
      </c>
      <c r="AB93" t="n">
        <v>0</v>
      </c>
      <c r="AC93" t="n">
        <v>39</v>
      </c>
      <c r="AD93" t="n">
        <v>14</v>
      </c>
      <c r="AE93" t="n">
        <v>1</v>
      </c>
      <c r="AF93" t="n">
        <v>44</v>
      </c>
      <c r="AG93" t="n">
        <v>17</v>
      </c>
      <c r="AH93" t="n">
        <v>0</v>
      </c>
      <c r="AI93" t="n">
        <v>46</v>
      </c>
      <c r="AJ93" t="n">
        <v>14</v>
      </c>
      <c r="AK93">
        <f>HYPERLINK("file:///home/hermansyah/Aplikasi%20TA/data/rgbdaun/87.png","LINK")</f>
        <v/>
      </c>
      <c r="AL93" t="n">
        <v>18</v>
      </c>
      <c r="AM93" t="n">
        <v>14</v>
      </c>
      <c r="AN93">
        <f>HYPERLINK("file:///home/hermansyah/Aplikasi%20TA/data/kelilingdaun/87_atas.png","LINK")</f>
        <v/>
      </c>
      <c r="AO93">
        <f>HYPERLINK("file:///home/hermansyah/Aplikasi%20TA/data/kelilingdaun/87_bawah.png","LINK")</f>
        <v/>
      </c>
      <c r="AP93" t="n">
        <v>0.9903552492671297</v>
      </c>
      <c r="AQ93" t="n">
        <v>0.7152776024519938</v>
      </c>
      <c r="AR93" t="n">
        <v>2.687427423573523e-07</v>
      </c>
      <c r="AS93" t="n">
        <v>4</v>
      </c>
      <c r="AT93" t="n">
        <v>4</v>
      </c>
      <c r="AU93" t="n">
        <v>4</v>
      </c>
    </row>
    <row r="94" spans="1:47">
      <c r="A94" t="n">
        <v>88</v>
      </c>
      <c r="B94" t="s">
        <v>117</v>
      </c>
      <c r="C94" t="n">
        <v>4.600000000000001</v>
      </c>
      <c r="D94" t="n">
        <v>4.100000000000001</v>
      </c>
      <c r="E94">
        <f>HYPERLINK("file:///home/hermansyah/Aplikasi%20TA/data/luasdaun/88_atas.png","LINK")</f>
        <v/>
      </c>
      <c r="F94">
        <f>HYPERLINK("file:///home/hermansyah/Aplikasi%20TA/data/luasdaun/88_bawah.png","LINK")</f>
        <v/>
      </c>
      <c r="G94" t="n">
        <v>0</v>
      </c>
      <c r="H94" t="n">
        <v>42</v>
      </c>
      <c r="I94" t="n">
        <v>11</v>
      </c>
      <c r="J94" t="n">
        <v>0</v>
      </c>
      <c r="K94" t="n">
        <v>41</v>
      </c>
      <c r="L94" t="n">
        <v>14</v>
      </c>
      <c r="M94" t="n">
        <v>0</v>
      </c>
      <c r="N94" t="n">
        <v>39</v>
      </c>
      <c r="O94" t="n">
        <v>14</v>
      </c>
      <c r="P94" t="n">
        <v>0</v>
      </c>
      <c r="Q94" t="n">
        <v>40</v>
      </c>
      <c r="R94" t="n">
        <v>13</v>
      </c>
      <c r="S94" t="n">
        <v>0</v>
      </c>
      <c r="T94" t="n">
        <v>45</v>
      </c>
      <c r="U94" t="n">
        <v>16</v>
      </c>
      <c r="V94" t="n">
        <v>1</v>
      </c>
      <c r="W94" t="n">
        <v>48</v>
      </c>
      <c r="X94" t="n">
        <v>16</v>
      </c>
      <c r="Y94" t="n">
        <v>0</v>
      </c>
      <c r="Z94" t="n">
        <v>41</v>
      </c>
      <c r="AA94" t="n">
        <v>16</v>
      </c>
      <c r="AB94" t="n">
        <v>0</v>
      </c>
      <c r="AC94" t="n">
        <v>42</v>
      </c>
      <c r="AD94" t="n">
        <v>16</v>
      </c>
      <c r="AE94" t="n">
        <v>0</v>
      </c>
      <c r="AF94" t="n">
        <v>49</v>
      </c>
      <c r="AG94" t="n">
        <v>19</v>
      </c>
      <c r="AH94" t="n">
        <v>0</v>
      </c>
      <c r="AI94" t="n">
        <v>48</v>
      </c>
      <c r="AJ94" t="n">
        <v>18</v>
      </c>
      <c r="AK94">
        <f>HYPERLINK("file:///home/hermansyah/Aplikasi%20TA/data/rgbdaun/88.png","LINK")</f>
        <v/>
      </c>
      <c r="AL94" t="n">
        <v>18</v>
      </c>
      <c r="AM94" t="n">
        <v>16</v>
      </c>
      <c r="AN94">
        <f>HYPERLINK("file:///home/hermansyah/Aplikasi%20TA/data/kelilingdaun/88_atas.png","LINK")</f>
        <v/>
      </c>
      <c r="AO94">
        <f>HYPERLINK("file:///home/hermansyah/Aplikasi%20TA/data/kelilingdaun/88_bawah.png","LINK")</f>
        <v/>
      </c>
      <c r="AP94" t="n">
        <v>0.9903552492666881</v>
      </c>
      <c r="AQ94" t="n">
        <v>0.71546902950799</v>
      </c>
      <c r="AR94" t="n">
        <v>2.252696254493391e-07</v>
      </c>
      <c r="AS94" t="n">
        <v>4</v>
      </c>
      <c r="AT94" t="n">
        <v>4</v>
      </c>
      <c r="AU94" t="n">
        <v>0</v>
      </c>
    </row>
    <row r="95" spans="1:47">
      <c r="A95" t="n">
        <v>89</v>
      </c>
      <c r="B95" t="s">
        <v>118</v>
      </c>
      <c r="C95" t="n">
        <v>4.600000000000001</v>
      </c>
      <c r="D95" t="n">
        <v>4.100000000000001</v>
      </c>
      <c r="E95">
        <f>HYPERLINK("file:///home/hermansyah/Aplikasi%20TA/data/luasdaun/89_atas.png","LINK")</f>
        <v/>
      </c>
      <c r="F95">
        <f>HYPERLINK("file:///home/hermansyah/Aplikasi%20TA/data/luasdaun/89_bawah.png","LINK")</f>
        <v/>
      </c>
      <c r="G95" t="n">
        <v>3</v>
      </c>
      <c r="H95" t="n">
        <v>33</v>
      </c>
      <c r="I95" t="n">
        <v>8</v>
      </c>
      <c r="J95" t="n">
        <v>2</v>
      </c>
      <c r="K95" t="n">
        <v>33</v>
      </c>
      <c r="L95" t="n">
        <v>12</v>
      </c>
      <c r="M95" t="n">
        <v>0</v>
      </c>
      <c r="N95" t="n">
        <v>33</v>
      </c>
      <c r="O95" t="n">
        <v>12</v>
      </c>
      <c r="P95" t="n">
        <v>0</v>
      </c>
      <c r="Q95" t="n">
        <v>33</v>
      </c>
      <c r="R95" t="n">
        <v>9</v>
      </c>
      <c r="S95" t="n">
        <v>1</v>
      </c>
      <c r="T95" t="n">
        <v>36</v>
      </c>
      <c r="U95" t="n">
        <v>10</v>
      </c>
      <c r="V95" t="n">
        <v>4</v>
      </c>
      <c r="W95" t="n">
        <v>43</v>
      </c>
      <c r="X95" t="n">
        <v>17</v>
      </c>
      <c r="Y95" t="n">
        <v>0</v>
      </c>
      <c r="Z95" t="n">
        <v>35</v>
      </c>
      <c r="AA95" t="n">
        <v>11</v>
      </c>
      <c r="AB95" t="n">
        <v>0</v>
      </c>
      <c r="AC95" t="n">
        <v>39</v>
      </c>
      <c r="AD95" t="n">
        <v>14</v>
      </c>
      <c r="AE95" t="n">
        <v>0</v>
      </c>
      <c r="AF95" t="n">
        <v>39</v>
      </c>
      <c r="AG95" t="n">
        <v>14</v>
      </c>
      <c r="AH95" t="n">
        <v>0</v>
      </c>
      <c r="AI95" t="n">
        <v>40</v>
      </c>
      <c r="AJ95" t="n">
        <v>12</v>
      </c>
      <c r="AK95">
        <f>HYPERLINK("file:///home/hermansyah/Aplikasi%20TA/data/rgbdaun/89.png","LINK")</f>
        <v/>
      </c>
      <c r="AL95" t="n">
        <v>16</v>
      </c>
      <c r="AM95" t="n">
        <v>18</v>
      </c>
      <c r="AN95">
        <f>HYPERLINK("file:///home/hermansyah/Aplikasi%20TA/data/kelilingdaun/89_atas.png","LINK")</f>
        <v/>
      </c>
      <c r="AO95">
        <f>HYPERLINK("file:///home/hermansyah/Aplikasi%20TA/data/kelilingdaun/89_bawah.png","LINK")</f>
        <v/>
      </c>
      <c r="AP95" t="n">
        <v>0.9903552492666881</v>
      </c>
      <c r="AQ95" t="n">
        <v>0.939252853861431</v>
      </c>
      <c r="AR95" t="n">
        <v>7.408463329414088e-08</v>
      </c>
      <c r="AS95" t="n">
        <v>4</v>
      </c>
      <c r="AT95" t="n">
        <v>4</v>
      </c>
      <c r="AU95" t="n">
        <v>4</v>
      </c>
    </row>
    <row r="96" spans="1:47">
      <c r="A96" t="n">
        <v>90</v>
      </c>
      <c r="B96" t="s">
        <v>119</v>
      </c>
      <c r="C96" t="n">
        <v>4.4</v>
      </c>
      <c r="D96" t="n">
        <v>4</v>
      </c>
      <c r="E96">
        <f>HYPERLINK("file:///home/hermansyah/Aplikasi%20TA/data/luasdaun/90_atas.png","LINK")</f>
        <v/>
      </c>
      <c r="F96">
        <f>HYPERLINK("file:///home/hermansyah/Aplikasi%20TA/data/luasdaun/90_bawah.png","LINK")</f>
        <v/>
      </c>
      <c r="G96" t="n">
        <v>0</v>
      </c>
      <c r="H96" t="n">
        <v>34</v>
      </c>
      <c r="I96" t="n">
        <v>10</v>
      </c>
      <c r="J96" t="n">
        <v>1</v>
      </c>
      <c r="K96" t="n">
        <v>33</v>
      </c>
      <c r="L96" t="n">
        <v>16</v>
      </c>
      <c r="M96" t="n">
        <v>0</v>
      </c>
      <c r="N96" t="n">
        <v>30</v>
      </c>
      <c r="O96" t="n">
        <v>13</v>
      </c>
      <c r="P96" t="n">
        <v>0</v>
      </c>
      <c r="Q96" t="n">
        <v>30</v>
      </c>
      <c r="R96" t="n">
        <v>10</v>
      </c>
      <c r="S96" t="n">
        <v>0</v>
      </c>
      <c r="T96" t="n">
        <v>43</v>
      </c>
      <c r="U96" t="n">
        <v>17</v>
      </c>
      <c r="V96" t="n">
        <v>2</v>
      </c>
      <c r="W96" t="n">
        <v>33</v>
      </c>
      <c r="X96" t="n">
        <v>12</v>
      </c>
      <c r="Y96" t="n">
        <v>1</v>
      </c>
      <c r="Z96" t="n">
        <v>33</v>
      </c>
      <c r="AA96" t="n">
        <v>16</v>
      </c>
      <c r="AB96" t="n">
        <v>0</v>
      </c>
      <c r="AC96" t="n">
        <v>34</v>
      </c>
      <c r="AD96" t="n">
        <v>14</v>
      </c>
      <c r="AE96" t="n">
        <v>0</v>
      </c>
      <c r="AF96" t="n">
        <v>38</v>
      </c>
      <c r="AG96" t="n">
        <v>16</v>
      </c>
      <c r="AH96" t="n">
        <v>107</v>
      </c>
      <c r="AI96" t="n">
        <v>121</v>
      </c>
      <c r="AJ96" t="n">
        <v>109</v>
      </c>
      <c r="AK96">
        <f>HYPERLINK("file:///home/hermansyah/Aplikasi%20TA/data/rgbdaun/90.png","LINK")</f>
        <v/>
      </c>
      <c r="AL96" t="n">
        <v>17</v>
      </c>
      <c r="AM96" t="n">
        <v>14</v>
      </c>
      <c r="AN96">
        <f>HYPERLINK("file:///home/hermansyah/Aplikasi%20TA/data/kelilingdaun/90_atas.png","LINK")</f>
        <v/>
      </c>
      <c r="AO96">
        <f>HYPERLINK("file:///home/hermansyah/Aplikasi%20TA/data/kelilingdaun/90_bawah.png","LINK")</f>
        <v/>
      </c>
      <c r="AP96" t="n">
        <v>0.9903552492663427</v>
      </c>
      <c r="AQ96" t="n">
        <v>0.7152017217706312</v>
      </c>
      <c r="AR96" t="n">
        <v>0.03564719801710357</v>
      </c>
      <c r="AS96" t="n">
        <v>4</v>
      </c>
      <c r="AT96" t="n">
        <v>4</v>
      </c>
      <c r="AU96" t="n">
        <v>2</v>
      </c>
    </row>
    <row r="97" spans="1:47">
      <c r="A97" t="n">
        <v>91</v>
      </c>
      <c r="B97" t="s">
        <v>120</v>
      </c>
      <c r="C97" t="n">
        <v>4.3</v>
      </c>
      <c r="D97" t="n">
        <v>2.9</v>
      </c>
      <c r="E97">
        <f>HYPERLINK("file:///home/hermansyah/Aplikasi%20TA/data/luasdaun/91_atas.png","LINK")</f>
        <v/>
      </c>
      <c r="F97">
        <f>HYPERLINK("file:///home/hermansyah/Aplikasi%20TA/data/luasdaun/91_bawah.png","LINK")</f>
        <v/>
      </c>
      <c r="G97" t="n">
        <v>2</v>
      </c>
      <c r="H97" t="n">
        <v>35</v>
      </c>
      <c r="I97" t="n">
        <v>14</v>
      </c>
      <c r="J97" t="n">
        <v>2</v>
      </c>
      <c r="K97" t="n">
        <v>36</v>
      </c>
      <c r="L97" t="n">
        <v>19</v>
      </c>
      <c r="M97" t="n">
        <v>6</v>
      </c>
      <c r="N97" t="n">
        <v>45</v>
      </c>
      <c r="O97" t="n">
        <v>29</v>
      </c>
      <c r="P97" t="n">
        <v>0</v>
      </c>
      <c r="Q97" t="n">
        <v>36</v>
      </c>
      <c r="R97" t="n">
        <v>16</v>
      </c>
      <c r="S97" t="n">
        <v>3</v>
      </c>
      <c r="T97" t="n">
        <v>42</v>
      </c>
      <c r="U97" t="n">
        <v>20</v>
      </c>
      <c r="V97" t="n">
        <v>4</v>
      </c>
      <c r="W97" t="n">
        <v>34</v>
      </c>
      <c r="X97" t="n">
        <v>15</v>
      </c>
      <c r="Y97" t="n">
        <v>1</v>
      </c>
      <c r="Z97" t="n">
        <v>38</v>
      </c>
      <c r="AA97" t="n">
        <v>18</v>
      </c>
      <c r="AB97" t="n">
        <v>2</v>
      </c>
      <c r="AC97" t="n">
        <v>41</v>
      </c>
      <c r="AD97" t="n">
        <v>20</v>
      </c>
      <c r="AE97" t="n">
        <v>0</v>
      </c>
      <c r="AF97" t="n">
        <v>41</v>
      </c>
      <c r="AG97" t="n">
        <v>18</v>
      </c>
      <c r="AH97" t="n">
        <v>38</v>
      </c>
      <c r="AI97" t="n">
        <v>74</v>
      </c>
      <c r="AJ97" t="n">
        <v>58</v>
      </c>
      <c r="AK97">
        <f>HYPERLINK("file:///home/hermansyah/Aplikasi%20TA/data/rgbdaun/91.png","LINK")</f>
        <v/>
      </c>
      <c r="AL97" t="n">
        <v>18</v>
      </c>
      <c r="AM97" t="n">
        <v>14</v>
      </c>
      <c r="AN97">
        <f>HYPERLINK("file:///home/hermansyah/Aplikasi%20TA/data/kelilingdaun/91_atas.png","LINK")</f>
        <v/>
      </c>
      <c r="AO97">
        <f>HYPERLINK("file:///home/hermansyah/Aplikasi%20TA/data/kelilingdaun/91_bawah.png","LINK")</f>
        <v/>
      </c>
      <c r="AP97" t="n">
        <v>0.9903552530060055</v>
      </c>
      <c r="AQ97" t="n">
        <v>0.7152776024519938</v>
      </c>
      <c r="AR97" t="n">
        <v>3.000637543574733e-07</v>
      </c>
      <c r="AS97" t="n">
        <v>4</v>
      </c>
      <c r="AT97" t="n">
        <v>4</v>
      </c>
      <c r="AU97" t="n">
        <v>4</v>
      </c>
    </row>
    <row r="98" spans="1:47">
      <c r="A98" t="n">
        <v>92</v>
      </c>
      <c r="B98" t="s">
        <v>121</v>
      </c>
      <c r="C98" t="n">
        <v>4.800000000000001</v>
      </c>
      <c r="D98" t="n">
        <v>3.8</v>
      </c>
      <c r="E98">
        <f>HYPERLINK("file:///home/hermansyah/Aplikasi%20TA/data/luasdaun/92_atas.png","LINK")</f>
        <v/>
      </c>
      <c r="F98">
        <f>HYPERLINK("file:///home/hermansyah/Aplikasi%20TA/data/luasdaun/92_bawah.png","LINK")</f>
        <v/>
      </c>
      <c r="G98" t="n">
        <v>0</v>
      </c>
      <c r="H98" t="n">
        <v>41</v>
      </c>
      <c r="I98" t="n">
        <v>14</v>
      </c>
      <c r="J98" t="n">
        <v>0</v>
      </c>
      <c r="K98" t="n">
        <v>39</v>
      </c>
      <c r="L98" t="n">
        <v>18</v>
      </c>
      <c r="M98" t="n">
        <v>0</v>
      </c>
      <c r="N98" t="n">
        <v>41</v>
      </c>
      <c r="O98" t="n">
        <v>20</v>
      </c>
      <c r="P98" t="n">
        <v>0</v>
      </c>
      <c r="Q98" t="n">
        <v>41</v>
      </c>
      <c r="R98" t="n">
        <v>20</v>
      </c>
      <c r="S98" t="n">
        <v>0</v>
      </c>
      <c r="T98" t="n">
        <v>38</v>
      </c>
      <c r="U98" t="n">
        <v>16</v>
      </c>
      <c r="V98" t="n">
        <v>0</v>
      </c>
      <c r="W98" t="n">
        <v>38</v>
      </c>
      <c r="X98" t="n">
        <v>13</v>
      </c>
      <c r="Y98" t="n">
        <v>2</v>
      </c>
      <c r="Z98" t="n">
        <v>41</v>
      </c>
      <c r="AA98" t="n">
        <v>20</v>
      </c>
      <c r="AB98" t="n">
        <v>0</v>
      </c>
      <c r="AC98" t="n">
        <v>41</v>
      </c>
      <c r="AD98" t="n">
        <v>18</v>
      </c>
      <c r="AE98" t="n">
        <v>0</v>
      </c>
      <c r="AF98" t="n">
        <v>40</v>
      </c>
      <c r="AG98" t="n">
        <v>17</v>
      </c>
      <c r="AH98" t="n">
        <v>0</v>
      </c>
      <c r="AI98" t="n">
        <v>43</v>
      </c>
      <c r="AJ98" t="n">
        <v>16</v>
      </c>
      <c r="AK98">
        <f>HYPERLINK("file:///home/hermansyah/Aplikasi%20TA/data/rgbdaun/92.png","LINK")</f>
        <v/>
      </c>
      <c r="AL98" t="n">
        <v>17</v>
      </c>
      <c r="AM98" t="n">
        <v>15</v>
      </c>
      <c r="AN98">
        <f>HYPERLINK("file:///home/hermansyah/Aplikasi%20TA/data/kelilingdaun/92_atas.png","LINK")</f>
        <v/>
      </c>
      <c r="AO98">
        <f>HYPERLINK("file:///home/hermansyah/Aplikasi%20TA/data/kelilingdaun/92_bawah.png","LINK")</f>
        <v/>
      </c>
      <c r="AP98" t="n">
        <v>0.9903552492663042</v>
      </c>
      <c r="AQ98" t="n">
        <v>0.7153446329944174</v>
      </c>
      <c r="AR98" t="n">
        <v>2.08854552301689e-07</v>
      </c>
      <c r="AS98" t="n">
        <v>4</v>
      </c>
      <c r="AT98" t="n">
        <v>4</v>
      </c>
      <c r="AU98" t="n">
        <v>3</v>
      </c>
    </row>
    <row r="99" spans="1:47">
      <c r="A99" t="n">
        <v>93</v>
      </c>
      <c r="B99" t="s">
        <v>122</v>
      </c>
      <c r="C99" t="n">
        <v>4.9</v>
      </c>
      <c r="D99" t="n">
        <v>1.8</v>
      </c>
      <c r="E99">
        <f>HYPERLINK("file:///home/hermansyah/Aplikasi%20TA/data/luasdaun/93_atas.png","LINK")</f>
        <v/>
      </c>
      <c r="F99">
        <f>HYPERLINK("file:///home/hermansyah/Aplikasi%20TA/data/luasdaun/93_bawah.png","LINK")</f>
        <v/>
      </c>
      <c r="G99" t="n">
        <v>0</v>
      </c>
      <c r="H99" t="n">
        <v>31</v>
      </c>
      <c r="I99" t="n">
        <v>12</v>
      </c>
      <c r="J99" t="n">
        <v>0</v>
      </c>
      <c r="K99" t="n">
        <v>41</v>
      </c>
      <c r="L99" t="n">
        <v>20</v>
      </c>
      <c r="M99" t="n">
        <v>0</v>
      </c>
      <c r="N99" t="n">
        <v>38</v>
      </c>
      <c r="O99" t="n">
        <v>20</v>
      </c>
      <c r="P99" t="n">
        <v>2</v>
      </c>
      <c r="Q99" t="n">
        <v>48</v>
      </c>
      <c r="R99" t="n">
        <v>26</v>
      </c>
      <c r="S99" t="n">
        <v>0</v>
      </c>
      <c r="T99" t="n">
        <v>42</v>
      </c>
      <c r="U99" t="n">
        <v>16</v>
      </c>
      <c r="V99" t="n">
        <v>81</v>
      </c>
      <c r="W99" t="n">
        <v>96</v>
      </c>
      <c r="X99" t="n">
        <v>75</v>
      </c>
      <c r="Y99" t="n">
        <v>0</v>
      </c>
      <c r="Z99" t="n">
        <v>37</v>
      </c>
      <c r="AA99" t="n">
        <v>16</v>
      </c>
      <c r="AB99" t="n">
        <v>1</v>
      </c>
      <c r="AC99" t="n">
        <v>47</v>
      </c>
      <c r="AD99" t="n">
        <v>25</v>
      </c>
      <c r="AE99" t="n">
        <v>0</v>
      </c>
      <c r="AF99" t="n">
        <v>45</v>
      </c>
      <c r="AG99" t="n">
        <v>19</v>
      </c>
      <c r="AH99" t="n">
        <v>0</v>
      </c>
      <c r="AI99" t="n">
        <v>47</v>
      </c>
      <c r="AJ99" t="n">
        <v>19</v>
      </c>
      <c r="AK99">
        <f>HYPERLINK("file:///home/hermansyah/Aplikasi%20TA/data/rgbdaun/93.png","LINK")</f>
        <v/>
      </c>
      <c r="AL99" t="n">
        <v>16</v>
      </c>
      <c r="AM99" t="n">
        <v>13</v>
      </c>
      <c r="AN99">
        <f>HYPERLINK("file:///home/hermansyah/Aplikasi%20TA/data/kelilingdaun/93_atas.png","LINK")</f>
        <v/>
      </c>
      <c r="AO99">
        <f>HYPERLINK("file:///home/hermansyah/Aplikasi%20TA/data/kelilingdaun/93_bawah.png","LINK")</f>
        <v/>
      </c>
      <c r="AP99" t="n">
        <v>0.9962673602658754</v>
      </c>
      <c r="AQ99" t="n">
        <v>0.7149467436179062</v>
      </c>
      <c r="AR99" t="n">
        <v>4.788506330864443e-09</v>
      </c>
      <c r="AS99" t="n">
        <v>4</v>
      </c>
      <c r="AT99" t="n">
        <v>3</v>
      </c>
      <c r="AU99" t="n">
        <v>4</v>
      </c>
    </row>
    <row r="100" spans="1:47">
      <c r="A100" t="n">
        <v>94</v>
      </c>
      <c r="B100" t="s">
        <v>123</v>
      </c>
      <c r="C100" t="n">
        <v>6</v>
      </c>
      <c r="D100" t="n">
        <v>3.5</v>
      </c>
      <c r="E100">
        <f>HYPERLINK("file:///home/hermansyah/Aplikasi%20TA/data/luasdaun/94_atas.png","LINK")</f>
        <v/>
      </c>
      <c r="F100">
        <f>HYPERLINK("file:///home/hermansyah/Aplikasi%20TA/data/luasdaun/94_bawah.png","LINK")</f>
        <v/>
      </c>
      <c r="G100" t="n">
        <v>6</v>
      </c>
      <c r="H100" t="n">
        <v>40</v>
      </c>
      <c r="I100" t="n">
        <v>16</v>
      </c>
      <c r="J100" t="n">
        <v>1</v>
      </c>
      <c r="K100" t="n">
        <v>34</v>
      </c>
      <c r="L100" t="n">
        <v>20</v>
      </c>
      <c r="M100" t="n">
        <v>1</v>
      </c>
      <c r="N100" t="n">
        <v>31</v>
      </c>
      <c r="O100" t="n">
        <v>12</v>
      </c>
      <c r="P100" t="n">
        <v>2</v>
      </c>
      <c r="Q100" t="n">
        <v>36</v>
      </c>
      <c r="R100" t="n">
        <v>12</v>
      </c>
      <c r="S100" t="n">
        <v>0</v>
      </c>
      <c r="T100" t="n">
        <v>32</v>
      </c>
      <c r="U100" t="n">
        <v>7</v>
      </c>
      <c r="V100" t="n">
        <v>3</v>
      </c>
      <c r="W100" t="n">
        <v>37</v>
      </c>
      <c r="X100" t="n">
        <v>7</v>
      </c>
      <c r="Y100" t="n">
        <v>1</v>
      </c>
      <c r="Z100" t="n">
        <v>35</v>
      </c>
      <c r="AA100" t="n">
        <v>11</v>
      </c>
      <c r="AB100" t="n">
        <v>2</v>
      </c>
      <c r="AC100" t="n">
        <v>35</v>
      </c>
      <c r="AD100" t="n">
        <v>14</v>
      </c>
      <c r="AE100" t="n">
        <v>1</v>
      </c>
      <c r="AF100" t="n">
        <v>35</v>
      </c>
      <c r="AG100" t="n">
        <v>11</v>
      </c>
      <c r="AH100" t="n">
        <v>0</v>
      </c>
      <c r="AI100" t="n">
        <v>34</v>
      </c>
      <c r="AJ100" t="n">
        <v>7</v>
      </c>
      <c r="AK100">
        <f>HYPERLINK("file:///home/hermansyah/Aplikasi%20TA/data/rgbdaun/94.png","LINK")</f>
        <v/>
      </c>
      <c r="AL100" t="n">
        <v>20</v>
      </c>
      <c r="AM100" t="n">
        <v>15</v>
      </c>
      <c r="AN100">
        <f>HYPERLINK("file:///home/hermansyah/Aplikasi%20TA/data/kelilingdaun/94_atas.png","LINK")</f>
        <v/>
      </c>
      <c r="AO100">
        <f>HYPERLINK("file:///home/hermansyah/Aplikasi%20TA/data/kelilingdaun/94_bawah.png","LINK")</f>
        <v/>
      </c>
      <c r="AP100" t="n">
        <v>0.9903552494817074</v>
      </c>
      <c r="AQ100" t="n">
        <v>0.7154673625472637</v>
      </c>
      <c r="AR100" t="n">
        <v>1.107672639449117e-07</v>
      </c>
      <c r="AS100" t="n">
        <v>4</v>
      </c>
      <c r="AT100" t="n">
        <v>4</v>
      </c>
      <c r="AU100" t="n">
        <v>4</v>
      </c>
    </row>
    <row r="101" spans="1:47">
      <c r="A101" t="n">
        <v>95</v>
      </c>
      <c r="B101" t="s">
        <v>124</v>
      </c>
      <c r="C101" t="n">
        <v>5.4</v>
      </c>
      <c r="D101" t="n">
        <v>3.5</v>
      </c>
      <c r="E101">
        <f>HYPERLINK("file:///home/hermansyah/Aplikasi%20TA/data/luasdaun/95_atas.png","LINK")</f>
        <v/>
      </c>
      <c r="F101">
        <f>HYPERLINK("file:///home/hermansyah/Aplikasi%20TA/data/luasdaun/95_bawah.png","LINK")</f>
        <v/>
      </c>
      <c r="G101" t="n">
        <v>8</v>
      </c>
      <c r="H101" t="n">
        <v>40</v>
      </c>
      <c r="I101" t="n">
        <v>23</v>
      </c>
      <c r="J101" t="n">
        <v>1</v>
      </c>
      <c r="K101" t="n">
        <v>35</v>
      </c>
      <c r="L101" t="n">
        <v>18</v>
      </c>
      <c r="M101" t="n">
        <v>0</v>
      </c>
      <c r="N101" t="n">
        <v>32</v>
      </c>
      <c r="O101" t="n">
        <v>17</v>
      </c>
      <c r="P101" t="n">
        <v>2</v>
      </c>
      <c r="Q101" t="n">
        <v>34</v>
      </c>
      <c r="R101" t="n">
        <v>17</v>
      </c>
      <c r="S101" t="n">
        <v>1</v>
      </c>
      <c r="T101" t="n">
        <v>33</v>
      </c>
      <c r="U101" t="n">
        <v>16</v>
      </c>
      <c r="V101" t="n">
        <v>3</v>
      </c>
      <c r="W101" t="n">
        <v>39</v>
      </c>
      <c r="X101" t="n">
        <v>17</v>
      </c>
      <c r="Y101" t="n">
        <v>0</v>
      </c>
      <c r="Z101" t="n">
        <v>34</v>
      </c>
      <c r="AA101" t="n">
        <v>17</v>
      </c>
      <c r="AB101" t="n">
        <v>0</v>
      </c>
      <c r="AC101" t="n">
        <v>39</v>
      </c>
      <c r="AD101" t="n">
        <v>18</v>
      </c>
      <c r="AE101" t="n">
        <v>0</v>
      </c>
      <c r="AF101" t="n">
        <v>35</v>
      </c>
      <c r="AG101" t="n">
        <v>15</v>
      </c>
      <c r="AH101" t="n">
        <v>0</v>
      </c>
      <c r="AI101" t="n">
        <v>35</v>
      </c>
      <c r="AJ101" t="n">
        <v>15</v>
      </c>
      <c r="AK101">
        <f>HYPERLINK("file:///home/hermansyah/Aplikasi%20TA/data/rgbdaun/95.png","LINK")</f>
        <v/>
      </c>
      <c r="AL101" t="n">
        <v>18</v>
      </c>
      <c r="AM101" t="n">
        <v>17</v>
      </c>
      <c r="AN101">
        <f>HYPERLINK("file:///home/hermansyah/Aplikasi%20TA/data/kelilingdaun/95_atas.png","LINK")</f>
        <v/>
      </c>
      <c r="AO101">
        <f>HYPERLINK("file:///home/hermansyah/Aplikasi%20TA/data/kelilingdaun/95_bawah.png","LINK")</f>
        <v/>
      </c>
      <c r="AP101" t="n">
        <v>0.9903552492948035</v>
      </c>
      <c r="AQ101" t="n">
        <v>0.7170535824750008</v>
      </c>
      <c r="AR101" t="n">
        <v>8.635611108766349e-08</v>
      </c>
      <c r="AS101" t="n">
        <v>4</v>
      </c>
      <c r="AT101" t="n">
        <v>4</v>
      </c>
      <c r="AU101" t="n">
        <v>4</v>
      </c>
    </row>
    <row r="102" spans="1:47">
      <c r="A102" t="n">
        <v>96</v>
      </c>
      <c r="B102" t="s">
        <v>125</v>
      </c>
      <c r="C102" t="n">
        <v>5.300000000000001</v>
      </c>
      <c r="D102" t="n">
        <v>4.100000000000001</v>
      </c>
      <c r="E102">
        <f>HYPERLINK("file:///home/hermansyah/Aplikasi%20TA/data/luasdaun/96_atas.png","LINK")</f>
        <v/>
      </c>
      <c r="F102">
        <f>HYPERLINK("file:///home/hermansyah/Aplikasi%20TA/data/luasdaun/96_bawah.png","LINK")</f>
        <v/>
      </c>
      <c r="G102" t="n">
        <v>0</v>
      </c>
      <c r="H102" t="n">
        <v>28</v>
      </c>
      <c r="I102" t="n">
        <v>5</v>
      </c>
      <c r="J102" t="n">
        <v>0</v>
      </c>
      <c r="K102" t="n">
        <v>27</v>
      </c>
      <c r="L102" t="n">
        <v>11</v>
      </c>
      <c r="M102" t="n">
        <v>6</v>
      </c>
      <c r="N102" t="n">
        <v>46</v>
      </c>
      <c r="O102" t="n">
        <v>28</v>
      </c>
      <c r="P102" t="n">
        <v>2</v>
      </c>
      <c r="Q102" t="n">
        <v>34</v>
      </c>
      <c r="R102" t="n">
        <v>15</v>
      </c>
      <c r="S102" t="n">
        <v>0</v>
      </c>
      <c r="T102" t="n">
        <v>30</v>
      </c>
      <c r="U102" t="n">
        <v>11</v>
      </c>
      <c r="V102" t="n">
        <v>0</v>
      </c>
      <c r="W102" t="n">
        <v>31</v>
      </c>
      <c r="X102" t="n">
        <v>7</v>
      </c>
      <c r="Y102" t="n">
        <v>0</v>
      </c>
      <c r="Z102" t="n">
        <v>31</v>
      </c>
      <c r="AA102" t="n">
        <v>12</v>
      </c>
      <c r="AB102" t="n">
        <v>0</v>
      </c>
      <c r="AC102" t="n">
        <v>31</v>
      </c>
      <c r="AD102" t="n">
        <v>12</v>
      </c>
      <c r="AE102" t="n">
        <v>0</v>
      </c>
      <c r="AF102" t="n">
        <v>33</v>
      </c>
      <c r="AG102" t="n">
        <v>11</v>
      </c>
      <c r="AH102" t="n">
        <v>0</v>
      </c>
      <c r="AI102" t="n">
        <v>38</v>
      </c>
      <c r="AJ102" t="n">
        <v>12</v>
      </c>
      <c r="AK102">
        <f>HYPERLINK("file:///home/hermansyah/Aplikasi%20TA/data/rgbdaun/96.png","LINK")</f>
        <v/>
      </c>
      <c r="AL102" t="n">
        <v>18</v>
      </c>
      <c r="AM102" t="n">
        <v>15</v>
      </c>
      <c r="AN102">
        <f>HYPERLINK("file:///home/hermansyah/Aplikasi%20TA/data/kelilingdaun/96_atas.png","LINK")</f>
        <v/>
      </c>
      <c r="AO102">
        <f>HYPERLINK("file:///home/hermansyah/Aplikasi%20TA/data/kelilingdaun/96_bawah.png","LINK")</f>
        <v/>
      </c>
      <c r="AP102" t="n">
        <v>0.9903552492669437</v>
      </c>
      <c r="AQ102" t="n">
        <v>0.7153727700993935</v>
      </c>
      <c r="AR102" t="n">
        <v>1.379306699532947e-07</v>
      </c>
      <c r="AS102" t="n">
        <v>4</v>
      </c>
      <c r="AT102" t="n">
        <v>4</v>
      </c>
      <c r="AU102" t="n">
        <v>4</v>
      </c>
    </row>
    <row r="103" spans="1:47">
      <c r="A103" t="n">
        <v>97</v>
      </c>
      <c r="B103" t="s">
        <v>126</v>
      </c>
      <c r="C103" t="n">
        <v>4.4</v>
      </c>
      <c r="D103" t="n">
        <v>3.3</v>
      </c>
      <c r="E103">
        <f>HYPERLINK("file:///home/hermansyah/Aplikasi%20TA/data/luasdaun/97_atas.png","LINK")</f>
        <v/>
      </c>
      <c r="F103">
        <f>HYPERLINK("file:///home/hermansyah/Aplikasi%20TA/data/luasdaun/97_bawah.png","LINK")</f>
        <v/>
      </c>
      <c r="G103" t="n">
        <v>6</v>
      </c>
      <c r="H103" t="n">
        <v>42</v>
      </c>
      <c r="I103" t="n">
        <v>18</v>
      </c>
      <c r="J103" t="n">
        <v>0</v>
      </c>
      <c r="K103" t="n">
        <v>33</v>
      </c>
      <c r="L103" t="n">
        <v>12</v>
      </c>
      <c r="M103" t="n">
        <v>1</v>
      </c>
      <c r="N103" t="n">
        <v>37</v>
      </c>
      <c r="O103" t="n">
        <v>13</v>
      </c>
      <c r="P103" t="n">
        <v>1</v>
      </c>
      <c r="Q103" t="n">
        <v>40</v>
      </c>
      <c r="R103" t="n">
        <v>14</v>
      </c>
      <c r="S103" t="n">
        <v>0</v>
      </c>
      <c r="T103" t="n">
        <v>48</v>
      </c>
      <c r="U103" t="n">
        <v>20</v>
      </c>
      <c r="V103" t="n">
        <v>1</v>
      </c>
      <c r="W103" t="n">
        <v>30</v>
      </c>
      <c r="X103" t="n">
        <v>5</v>
      </c>
      <c r="Y103" t="n">
        <v>0</v>
      </c>
      <c r="Z103" t="n">
        <v>36</v>
      </c>
      <c r="AA103" t="n">
        <v>12</v>
      </c>
      <c r="AB103" t="n">
        <v>1</v>
      </c>
      <c r="AC103" t="n">
        <v>34</v>
      </c>
      <c r="AD103" t="n">
        <v>13</v>
      </c>
      <c r="AE103" t="n">
        <v>0</v>
      </c>
      <c r="AF103" t="n">
        <v>35</v>
      </c>
      <c r="AG103" t="n">
        <v>11</v>
      </c>
      <c r="AH103" t="n">
        <v>111</v>
      </c>
      <c r="AI103" t="n">
        <v>126</v>
      </c>
      <c r="AJ103" t="n">
        <v>112</v>
      </c>
      <c r="AK103">
        <f>HYPERLINK("file:///home/hermansyah/Aplikasi%20TA/data/rgbdaun/97.png","LINK")</f>
        <v/>
      </c>
      <c r="AL103" t="n">
        <v>17</v>
      </c>
      <c r="AM103" t="n">
        <v>14</v>
      </c>
      <c r="AN103">
        <f>HYPERLINK("file:///home/hermansyah/Aplikasi%20TA/data/kelilingdaun/97_atas.png","LINK")</f>
        <v/>
      </c>
      <c r="AO103">
        <f>HYPERLINK("file:///home/hermansyah/Aplikasi%20TA/data/kelilingdaun/97_bawah.png","LINK")</f>
        <v/>
      </c>
      <c r="AP103" t="n">
        <v>0.9903552492857348</v>
      </c>
      <c r="AQ103" t="n">
        <v>0.7152017217706312</v>
      </c>
      <c r="AR103" t="n">
        <v>0.03608275267365275</v>
      </c>
      <c r="AS103" t="n">
        <v>4</v>
      </c>
      <c r="AT103" t="n">
        <v>4</v>
      </c>
      <c r="AU103" t="n">
        <v>3</v>
      </c>
    </row>
    <row r="104" spans="1:47">
      <c r="A104" t="n">
        <v>98</v>
      </c>
      <c r="B104" t="s">
        <v>127</v>
      </c>
      <c r="C104" t="n">
        <v>5.2</v>
      </c>
      <c r="D104" t="n">
        <v>3.6</v>
      </c>
      <c r="E104">
        <f>HYPERLINK("file:///home/hermansyah/Aplikasi%20TA/data/luasdaun/98_atas.png","LINK")</f>
        <v/>
      </c>
      <c r="F104">
        <f>HYPERLINK("file:///home/hermansyah/Aplikasi%20TA/data/luasdaun/98_bawah.png","LINK")</f>
        <v/>
      </c>
      <c r="G104" t="n">
        <v>2</v>
      </c>
      <c r="H104" t="n">
        <v>31</v>
      </c>
      <c r="I104" t="n">
        <v>15</v>
      </c>
      <c r="J104" t="n">
        <v>0</v>
      </c>
      <c r="K104" t="n">
        <v>35</v>
      </c>
      <c r="L104" t="n">
        <v>21</v>
      </c>
      <c r="M104" t="n">
        <v>2</v>
      </c>
      <c r="N104" t="n">
        <v>38</v>
      </c>
      <c r="O104" t="n">
        <v>22</v>
      </c>
      <c r="P104" t="n">
        <v>0</v>
      </c>
      <c r="Q104" t="n">
        <v>31</v>
      </c>
      <c r="R104" t="n">
        <v>14</v>
      </c>
      <c r="S104" t="n">
        <v>0</v>
      </c>
      <c r="T104" t="n">
        <v>44</v>
      </c>
      <c r="U104" t="n">
        <v>22</v>
      </c>
      <c r="V104" t="n">
        <v>6</v>
      </c>
      <c r="W104" t="n">
        <v>35</v>
      </c>
      <c r="X104" t="n">
        <v>19</v>
      </c>
      <c r="Y104" t="n">
        <v>1</v>
      </c>
      <c r="Z104" t="n">
        <v>39</v>
      </c>
      <c r="AA104" t="n">
        <v>21</v>
      </c>
      <c r="AB104" t="n">
        <v>0</v>
      </c>
      <c r="AC104" t="n">
        <v>44</v>
      </c>
      <c r="AD104" t="n">
        <v>25</v>
      </c>
      <c r="AE104" t="n">
        <v>0</v>
      </c>
      <c r="AF104" t="n">
        <v>52</v>
      </c>
      <c r="AG104" t="n">
        <v>29</v>
      </c>
      <c r="AH104" t="n">
        <v>93</v>
      </c>
      <c r="AI104" t="n">
        <v>109</v>
      </c>
      <c r="AJ104" t="n">
        <v>98</v>
      </c>
      <c r="AK104">
        <f>HYPERLINK("file:///home/hermansyah/Aplikasi%20TA/data/rgbdaun/98.png","LINK")</f>
        <v/>
      </c>
      <c r="AL104" t="n">
        <v>16</v>
      </c>
      <c r="AM104" t="n">
        <v>15</v>
      </c>
      <c r="AN104">
        <f>HYPERLINK("file:///home/hermansyah/Aplikasi%20TA/data/kelilingdaun/98_atas.png","LINK")</f>
        <v/>
      </c>
      <c r="AO104">
        <f>HYPERLINK("file:///home/hermansyah/Aplikasi%20TA/data/kelilingdaun/98_bawah.png","LINK")</f>
        <v/>
      </c>
      <c r="AP104" t="n">
        <v>0.9903552492709241</v>
      </c>
      <c r="AQ104" t="n">
        <v>0.718538929507713</v>
      </c>
      <c r="AR104" t="n">
        <v>0.0007826679061306845</v>
      </c>
      <c r="AS104" t="n">
        <v>4</v>
      </c>
      <c r="AT104" t="n">
        <v>4</v>
      </c>
      <c r="AU104" t="n">
        <v>3</v>
      </c>
    </row>
    <row r="105" spans="1:47">
      <c r="A105" t="n">
        <v>99</v>
      </c>
      <c r="B105" t="s">
        <v>128</v>
      </c>
      <c r="C105" t="n">
        <v>4.7</v>
      </c>
      <c r="D105" t="n">
        <v>4.3</v>
      </c>
      <c r="E105">
        <f>HYPERLINK("file:///home/hermansyah/Aplikasi%20TA/data/luasdaun/99_atas.png","LINK")</f>
        <v/>
      </c>
      <c r="F105">
        <f>HYPERLINK("file:///home/hermansyah/Aplikasi%20TA/data/luasdaun/99_bawah.png","LINK")</f>
        <v/>
      </c>
      <c r="G105" t="n">
        <v>3</v>
      </c>
      <c r="H105" t="n">
        <v>29</v>
      </c>
      <c r="I105" t="n">
        <v>6</v>
      </c>
      <c r="J105" t="n">
        <v>4</v>
      </c>
      <c r="K105" t="n">
        <v>30</v>
      </c>
      <c r="L105" t="n">
        <v>12</v>
      </c>
      <c r="M105" t="n">
        <v>3</v>
      </c>
      <c r="N105" t="n">
        <v>29</v>
      </c>
      <c r="O105" t="n">
        <v>11</v>
      </c>
      <c r="P105" t="n">
        <v>4</v>
      </c>
      <c r="Q105" t="n">
        <v>31</v>
      </c>
      <c r="R105" t="n">
        <v>11</v>
      </c>
      <c r="S105" t="n">
        <v>7</v>
      </c>
      <c r="T105" t="n">
        <v>35</v>
      </c>
      <c r="U105" t="n">
        <v>12</v>
      </c>
      <c r="V105" t="n">
        <v>4</v>
      </c>
      <c r="W105" t="n">
        <v>27</v>
      </c>
      <c r="X105" t="n">
        <v>5</v>
      </c>
      <c r="Y105" t="n">
        <v>8</v>
      </c>
      <c r="Z105" t="n">
        <v>32</v>
      </c>
      <c r="AA105" t="n">
        <v>14</v>
      </c>
      <c r="AB105" t="n">
        <v>3</v>
      </c>
      <c r="AC105" t="n">
        <v>27</v>
      </c>
      <c r="AD105" t="n">
        <v>9</v>
      </c>
      <c r="AE105" t="n">
        <v>3</v>
      </c>
      <c r="AF105" t="n">
        <v>28</v>
      </c>
      <c r="AG105" t="n">
        <v>8</v>
      </c>
      <c r="AH105" t="n">
        <v>3</v>
      </c>
      <c r="AI105" t="n">
        <v>31</v>
      </c>
      <c r="AJ105" t="n">
        <v>8</v>
      </c>
      <c r="AK105">
        <f>HYPERLINK("file:///home/hermansyah/Aplikasi%20TA/data/rgbdaun/99.png","LINK")</f>
        <v/>
      </c>
      <c r="AL105" t="n">
        <v>18</v>
      </c>
      <c r="AM105" t="n">
        <v>15</v>
      </c>
      <c r="AN105">
        <f>HYPERLINK("file:///home/hermansyah/Aplikasi%20TA/data/kelilingdaun/99_atas.png","LINK")</f>
        <v/>
      </c>
      <c r="AO105">
        <f>HYPERLINK("file:///home/hermansyah/Aplikasi%20TA/data/kelilingdaun/99_bawah.png","LINK")</f>
        <v/>
      </c>
      <c r="AP105" t="n">
        <v>0.990355249266915</v>
      </c>
      <c r="AQ105" t="n">
        <v>0.7153727700993935</v>
      </c>
      <c r="AR105" t="n">
        <v>2.970721990257532e-07</v>
      </c>
      <c r="AS105" t="n">
        <v>4</v>
      </c>
      <c r="AT105" t="n">
        <v>4</v>
      </c>
      <c r="AU105" t="n">
        <v>1</v>
      </c>
    </row>
    <row r="106" spans="1:47">
      <c r="A106" t="n">
        <v>100</v>
      </c>
      <c r="B106" t="s">
        <v>129</v>
      </c>
      <c r="C106" t="n">
        <v>3.5</v>
      </c>
      <c r="D106" t="n">
        <v>2.7</v>
      </c>
      <c r="E106">
        <f>HYPERLINK("file:///home/hermansyah/Aplikasi%20TA/data/luasdaun/100_atas.png","LINK")</f>
        <v/>
      </c>
      <c r="F106">
        <f>HYPERLINK("file:///home/hermansyah/Aplikasi%20TA/data/luasdaun/100_bawah.png","LINK")</f>
        <v/>
      </c>
      <c r="G106" t="n">
        <v>0</v>
      </c>
      <c r="H106" t="n">
        <v>35</v>
      </c>
      <c r="I106" t="n">
        <v>5</v>
      </c>
      <c r="J106" t="n">
        <v>0</v>
      </c>
      <c r="K106" t="n">
        <v>36</v>
      </c>
      <c r="L106" t="n">
        <v>12</v>
      </c>
      <c r="M106" t="n">
        <v>0</v>
      </c>
      <c r="N106" t="n">
        <v>38</v>
      </c>
      <c r="O106" t="n">
        <v>13</v>
      </c>
      <c r="P106" t="n">
        <v>0</v>
      </c>
      <c r="Q106" t="n">
        <v>50</v>
      </c>
      <c r="R106" t="n">
        <v>20</v>
      </c>
      <c r="S106" t="n">
        <v>118</v>
      </c>
      <c r="T106" t="n">
        <v>133</v>
      </c>
      <c r="U106" t="n">
        <v>119</v>
      </c>
      <c r="V106" t="n">
        <v>1</v>
      </c>
      <c r="W106" t="n">
        <v>36</v>
      </c>
      <c r="X106" t="n">
        <v>9</v>
      </c>
      <c r="Y106" t="n">
        <v>3</v>
      </c>
      <c r="Z106" t="n">
        <v>40</v>
      </c>
      <c r="AA106" t="n">
        <v>14</v>
      </c>
      <c r="AB106" t="n">
        <v>0</v>
      </c>
      <c r="AC106" t="n">
        <v>40</v>
      </c>
      <c r="AD106" t="n">
        <v>13</v>
      </c>
      <c r="AE106" t="n">
        <v>114</v>
      </c>
      <c r="AF106" t="n">
        <v>129</v>
      </c>
      <c r="AG106" t="n">
        <v>121</v>
      </c>
      <c r="AH106" t="n">
        <v>119</v>
      </c>
      <c r="AI106" t="n">
        <v>134</v>
      </c>
      <c r="AJ106" t="n">
        <v>120</v>
      </c>
      <c r="AK106">
        <f>HYPERLINK("file:///home/hermansyah/Aplikasi%20TA/data/rgbdaun/100.png","LINK")</f>
        <v/>
      </c>
      <c r="AL106" t="n">
        <v>15</v>
      </c>
      <c r="AM106" t="n">
        <v>12</v>
      </c>
      <c r="AN106">
        <f>HYPERLINK("file:///home/hermansyah/Aplikasi%20TA/data/kelilingdaun/100_atas.png","LINK")</f>
        <v/>
      </c>
      <c r="AO106">
        <f>HYPERLINK("file:///home/hermansyah/Aplikasi%20TA/data/kelilingdaun/100_bawah.png","LINK")</f>
        <v/>
      </c>
      <c r="AP106" t="n">
        <v>0.9903552621371767</v>
      </c>
      <c r="AQ106" t="n">
        <v>0.7145666201942824</v>
      </c>
      <c r="AR106" t="n">
        <v>0.03609282803852434</v>
      </c>
      <c r="AS106" t="n">
        <v>3</v>
      </c>
      <c r="AT106" t="n">
        <v>3</v>
      </c>
      <c r="AU106" t="n">
        <v>4</v>
      </c>
    </row>
    <row r="107" spans="1:47">
      <c r="A107" t="n">
        <v>101</v>
      </c>
      <c r="B107" t="s">
        <v>130</v>
      </c>
      <c r="C107" t="n">
        <v>5.5</v>
      </c>
      <c r="D107" t="n">
        <v>3.5</v>
      </c>
      <c r="E107">
        <f>HYPERLINK("file:///home/hermansyah/Aplikasi%20TA/data/luasdaun/101_atas.png","LINK")</f>
        <v/>
      </c>
      <c r="F107">
        <f>HYPERLINK("file:///home/hermansyah/Aplikasi%20TA/data/luasdaun/101_bawah.png","LINK")</f>
        <v/>
      </c>
      <c r="G107" t="n">
        <v>11</v>
      </c>
      <c r="H107" t="n">
        <v>52</v>
      </c>
      <c r="I107" t="n">
        <v>25</v>
      </c>
      <c r="J107" t="n">
        <v>4</v>
      </c>
      <c r="K107" t="n">
        <v>37</v>
      </c>
      <c r="L107" t="n">
        <v>16</v>
      </c>
      <c r="M107" t="n">
        <v>2</v>
      </c>
      <c r="N107" t="n">
        <v>34</v>
      </c>
      <c r="O107" t="n">
        <v>15</v>
      </c>
      <c r="P107" t="n">
        <v>1</v>
      </c>
      <c r="Q107" t="n">
        <v>34</v>
      </c>
      <c r="R107" t="n">
        <v>13</v>
      </c>
      <c r="S107" t="n">
        <v>3</v>
      </c>
      <c r="T107" t="n">
        <v>35</v>
      </c>
      <c r="U107" t="n">
        <v>11</v>
      </c>
      <c r="V107" t="n">
        <v>3</v>
      </c>
      <c r="W107" t="n">
        <v>38</v>
      </c>
      <c r="X107" t="n">
        <v>11</v>
      </c>
      <c r="Y107" t="n">
        <v>1</v>
      </c>
      <c r="Z107" t="n">
        <v>32</v>
      </c>
      <c r="AA107" t="n">
        <v>11</v>
      </c>
      <c r="AB107" t="n">
        <v>1</v>
      </c>
      <c r="AC107" t="n">
        <v>34</v>
      </c>
      <c r="AD107" t="n">
        <v>13</v>
      </c>
      <c r="AE107" t="n">
        <v>0</v>
      </c>
      <c r="AF107" t="n">
        <v>34</v>
      </c>
      <c r="AG107" t="n">
        <v>10</v>
      </c>
      <c r="AH107" t="n">
        <v>0</v>
      </c>
      <c r="AI107" t="n">
        <v>39</v>
      </c>
      <c r="AJ107" t="n">
        <v>11</v>
      </c>
      <c r="AK107">
        <f>HYPERLINK("file:///home/hermansyah/Aplikasi%20TA/data/rgbdaun/101.png","LINK")</f>
        <v/>
      </c>
      <c r="AL107" t="n">
        <v>17</v>
      </c>
      <c r="AM107" t="n">
        <v>17</v>
      </c>
      <c r="AN107">
        <f>HYPERLINK("file:///home/hermansyah/Aplikasi%20TA/data/kelilingdaun/101_atas.png","LINK")</f>
        <v/>
      </c>
      <c r="AO107">
        <f>HYPERLINK("file:///home/hermansyah/Aplikasi%20TA/data/kelilingdaun/101_bawah.png","LINK")</f>
        <v/>
      </c>
      <c r="AP107" t="n">
        <v>0.9903552493056275</v>
      </c>
      <c r="AQ107" t="n">
        <v>0.8136871866120295</v>
      </c>
      <c r="AR107" t="n">
        <v>1.262125266681427e-07</v>
      </c>
      <c r="AS107" t="n">
        <v>4</v>
      </c>
      <c r="AT107" t="n">
        <v>4</v>
      </c>
      <c r="AU107" t="n">
        <v>5</v>
      </c>
    </row>
    <row r="108" spans="1:47">
      <c r="A108" t="n">
        <v>102</v>
      </c>
      <c r="B108" t="s">
        <v>131</v>
      </c>
      <c r="C108" t="n">
        <v>5.300000000000001</v>
      </c>
      <c r="D108" t="n">
        <v>3.5</v>
      </c>
      <c r="E108">
        <f>HYPERLINK("file:///home/hermansyah/Aplikasi%20TA/data/luasdaun/102_atas.png","LINK")</f>
        <v/>
      </c>
      <c r="F108">
        <f>HYPERLINK("file:///home/hermansyah/Aplikasi%20TA/data/luasdaun/102_bawah.png","LINK")</f>
        <v/>
      </c>
      <c r="G108" t="n">
        <v>4</v>
      </c>
      <c r="H108" t="n">
        <v>32</v>
      </c>
      <c r="I108" t="n">
        <v>13</v>
      </c>
      <c r="J108" t="n">
        <v>4</v>
      </c>
      <c r="K108" t="n">
        <v>42</v>
      </c>
      <c r="L108" t="n">
        <v>24</v>
      </c>
      <c r="M108" t="n">
        <v>3</v>
      </c>
      <c r="N108" t="n">
        <v>43</v>
      </c>
      <c r="O108" t="n">
        <v>25</v>
      </c>
      <c r="P108" t="n">
        <v>0</v>
      </c>
      <c r="Q108" t="n">
        <v>37</v>
      </c>
      <c r="R108" t="n">
        <v>17</v>
      </c>
      <c r="S108" t="n">
        <v>0</v>
      </c>
      <c r="T108" t="n">
        <v>38</v>
      </c>
      <c r="U108" t="n">
        <v>16</v>
      </c>
      <c r="V108" t="n">
        <v>2</v>
      </c>
      <c r="W108" t="n">
        <v>25</v>
      </c>
      <c r="X108" t="n">
        <v>10</v>
      </c>
      <c r="Y108" t="n">
        <v>3</v>
      </c>
      <c r="Z108" t="n">
        <v>35</v>
      </c>
      <c r="AA108" t="n">
        <v>18</v>
      </c>
      <c r="AB108" t="n">
        <v>2</v>
      </c>
      <c r="AC108" t="n">
        <v>40</v>
      </c>
      <c r="AD108" t="n">
        <v>22</v>
      </c>
      <c r="AE108" t="n">
        <v>2</v>
      </c>
      <c r="AF108" t="n">
        <v>41</v>
      </c>
      <c r="AG108" t="n">
        <v>19</v>
      </c>
      <c r="AH108" t="n">
        <v>2</v>
      </c>
      <c r="AI108" t="n">
        <v>50</v>
      </c>
      <c r="AJ108" t="n">
        <v>26</v>
      </c>
      <c r="AK108">
        <f>HYPERLINK("file:///home/hermansyah/Aplikasi%20TA/data/rgbdaun/102.png","LINK")</f>
        <v/>
      </c>
      <c r="AL108" t="n">
        <v>19</v>
      </c>
      <c r="AM108" t="n">
        <v>14</v>
      </c>
      <c r="AN108">
        <f>HYPERLINK("file:///home/hermansyah/Aplikasi%20TA/data/kelilingdaun/102_atas.png","LINK")</f>
        <v/>
      </c>
      <c r="AO108">
        <f>HYPERLINK("file:///home/hermansyah/Aplikasi%20TA/data/kelilingdaun/102_bawah.png","LINK")</f>
        <v/>
      </c>
      <c r="AP108" t="n">
        <v>0.9903552492870491</v>
      </c>
      <c r="AQ108" t="n">
        <v>0.7153427271476603</v>
      </c>
      <c r="AR108" t="n">
        <v>2.867004237664802e-07</v>
      </c>
      <c r="AS108" t="n">
        <v>4</v>
      </c>
      <c r="AT108" t="n">
        <v>4</v>
      </c>
      <c r="AU108" t="n">
        <v>4</v>
      </c>
    </row>
    <row r="109" spans="1:47">
      <c r="A109" t="n">
        <v>103</v>
      </c>
      <c r="B109" t="s">
        <v>132</v>
      </c>
      <c r="C109" t="n">
        <v>5.2</v>
      </c>
      <c r="D109" t="n">
        <v>3.5</v>
      </c>
      <c r="E109">
        <f>HYPERLINK("file:///home/hermansyah/Aplikasi%20TA/data/luasdaun/103_atas.png","LINK")</f>
        <v/>
      </c>
      <c r="F109">
        <f>HYPERLINK("file:///home/hermansyah/Aplikasi%20TA/data/luasdaun/103_bawah.png","LINK")</f>
        <v/>
      </c>
      <c r="G109" t="n">
        <v>0</v>
      </c>
      <c r="H109" t="n">
        <v>38</v>
      </c>
      <c r="I109" t="n">
        <v>8</v>
      </c>
      <c r="J109" t="n">
        <v>3</v>
      </c>
      <c r="K109" t="n">
        <v>42</v>
      </c>
      <c r="L109" t="n">
        <v>17</v>
      </c>
      <c r="M109" t="n">
        <v>1</v>
      </c>
      <c r="N109" t="n">
        <v>40</v>
      </c>
      <c r="O109" t="n">
        <v>15</v>
      </c>
      <c r="P109" t="n">
        <v>1</v>
      </c>
      <c r="Q109" t="n">
        <v>40</v>
      </c>
      <c r="R109" t="n">
        <v>14</v>
      </c>
      <c r="S109" t="n">
        <v>0</v>
      </c>
      <c r="T109" t="n">
        <v>45</v>
      </c>
      <c r="U109" t="n">
        <v>16</v>
      </c>
      <c r="V109" t="n">
        <v>0</v>
      </c>
      <c r="W109" t="n">
        <v>44</v>
      </c>
      <c r="X109" t="n">
        <v>11</v>
      </c>
      <c r="Y109" t="n">
        <v>1</v>
      </c>
      <c r="Z109" t="n">
        <v>35</v>
      </c>
      <c r="AA109" t="n">
        <v>11</v>
      </c>
      <c r="AB109" t="n">
        <v>1</v>
      </c>
      <c r="AC109" t="n">
        <v>40</v>
      </c>
      <c r="AD109" t="n">
        <v>15</v>
      </c>
      <c r="AE109" t="n">
        <v>0</v>
      </c>
      <c r="AF109" t="n">
        <v>46</v>
      </c>
      <c r="AG109" t="n">
        <v>17</v>
      </c>
      <c r="AH109" t="n">
        <v>110</v>
      </c>
      <c r="AI109" t="n">
        <v>125</v>
      </c>
      <c r="AJ109" t="n">
        <v>111</v>
      </c>
      <c r="AK109">
        <f>HYPERLINK("file:///home/hermansyah/Aplikasi%20TA/data/rgbdaun/103.png","LINK")</f>
        <v/>
      </c>
      <c r="AL109" t="n">
        <v>18</v>
      </c>
      <c r="AM109" t="n">
        <v>16</v>
      </c>
      <c r="AN109">
        <f>HYPERLINK("file:///home/hermansyah/Aplikasi%20TA/data/kelilingdaun/103_atas.png","LINK")</f>
        <v/>
      </c>
      <c r="AO109">
        <f>HYPERLINK("file:///home/hermansyah/Aplikasi%20TA/data/kelilingdaun/103_bawah.png","LINK")</f>
        <v/>
      </c>
      <c r="AP109" t="n">
        <v>0.9903552492814256</v>
      </c>
      <c r="AQ109" t="n">
        <v>0.71546902950799</v>
      </c>
      <c r="AR109" t="n">
        <v>0.0319669156883533</v>
      </c>
      <c r="AS109" t="n">
        <v>4</v>
      </c>
      <c r="AT109" t="n">
        <v>4</v>
      </c>
      <c r="AU109" t="n">
        <v>3</v>
      </c>
    </row>
    <row r="110" spans="1:47">
      <c r="A110" t="n">
        <v>104</v>
      </c>
      <c r="B110" t="s">
        <v>133</v>
      </c>
      <c r="C110" t="n">
        <v>3.5</v>
      </c>
      <c r="D110" t="n">
        <v>2.8</v>
      </c>
      <c r="E110">
        <f>HYPERLINK("file:///home/hermansyah/Aplikasi%20TA/data/luasdaun/104_atas.png","LINK")</f>
        <v/>
      </c>
      <c r="F110">
        <f>HYPERLINK("file:///home/hermansyah/Aplikasi%20TA/data/luasdaun/104_bawah.png","LINK")</f>
        <v/>
      </c>
      <c r="G110" t="n">
        <v>0</v>
      </c>
      <c r="H110" t="n">
        <v>48</v>
      </c>
      <c r="I110" t="n">
        <v>11</v>
      </c>
      <c r="J110" t="n">
        <v>0</v>
      </c>
      <c r="K110" t="n">
        <v>44</v>
      </c>
      <c r="L110" t="n">
        <v>15</v>
      </c>
      <c r="M110" t="n">
        <v>0</v>
      </c>
      <c r="N110" t="n">
        <v>42</v>
      </c>
      <c r="O110" t="n">
        <v>16</v>
      </c>
      <c r="P110" t="n">
        <v>0</v>
      </c>
      <c r="Q110" t="n">
        <v>46</v>
      </c>
      <c r="R110" t="n">
        <v>17</v>
      </c>
      <c r="S110" t="n">
        <v>117</v>
      </c>
      <c r="T110" t="n">
        <v>131</v>
      </c>
      <c r="U110" t="n">
        <v>119</v>
      </c>
      <c r="V110" t="n">
        <v>0</v>
      </c>
      <c r="W110" t="n">
        <v>45</v>
      </c>
      <c r="X110" t="n">
        <v>9</v>
      </c>
      <c r="Y110" t="n">
        <v>1</v>
      </c>
      <c r="Z110" t="n">
        <v>45</v>
      </c>
      <c r="AA110" t="n">
        <v>16</v>
      </c>
      <c r="AB110" t="n">
        <v>0</v>
      </c>
      <c r="AC110" t="n">
        <v>46</v>
      </c>
      <c r="AD110" t="n">
        <v>18</v>
      </c>
      <c r="AE110" t="n">
        <v>2</v>
      </c>
      <c r="AF110" t="n">
        <v>56</v>
      </c>
      <c r="AG110" t="n">
        <v>27</v>
      </c>
      <c r="AH110" t="n">
        <v>5</v>
      </c>
      <c r="AI110" t="n">
        <v>69</v>
      </c>
      <c r="AJ110" t="n">
        <v>47</v>
      </c>
      <c r="AK110">
        <f>HYPERLINK("file:///home/hermansyah/Aplikasi%20TA/data/rgbdaun/104.png","LINK")</f>
        <v/>
      </c>
      <c r="AL110" t="n">
        <v>14</v>
      </c>
      <c r="AM110" t="n">
        <v>14</v>
      </c>
      <c r="AN110">
        <f>HYPERLINK("file:///home/hermansyah/Aplikasi%20TA/data/kelilingdaun/104_atas.png","LINK")</f>
        <v/>
      </c>
      <c r="AO110">
        <f>HYPERLINK("file:///home/hermansyah/Aplikasi%20TA/data/kelilingdaun/104_bawah.png","LINK")</f>
        <v/>
      </c>
      <c r="AP110" t="n">
        <v>0.9903552527171933</v>
      </c>
      <c r="AQ110" t="n">
        <v>0.8775232561607405</v>
      </c>
      <c r="AR110" t="n">
        <v>1.29089565320169e-06</v>
      </c>
      <c r="AS110" t="n">
        <v>3</v>
      </c>
      <c r="AT110" t="n">
        <v>3</v>
      </c>
      <c r="AU110" t="n">
        <v>2</v>
      </c>
    </row>
    <row r="111" spans="1:47">
      <c r="A111" t="n">
        <v>105</v>
      </c>
      <c r="B111" t="s">
        <v>134</v>
      </c>
      <c r="C111" t="n">
        <v>5.9</v>
      </c>
      <c r="D111" t="n">
        <v>3.4</v>
      </c>
      <c r="E111">
        <f>HYPERLINK("file:///home/hermansyah/Aplikasi%20TA/data/luasdaun/105_atas.png","LINK")</f>
        <v/>
      </c>
      <c r="F111">
        <f>HYPERLINK("file:///home/hermansyah/Aplikasi%20TA/data/luasdaun/105_bawah.png","LINK")</f>
        <v/>
      </c>
      <c r="G111" t="n">
        <v>0</v>
      </c>
      <c r="H111" t="n">
        <v>32</v>
      </c>
      <c r="I111" t="n">
        <v>21</v>
      </c>
      <c r="J111" t="n">
        <v>0</v>
      </c>
      <c r="K111" t="n">
        <v>41</v>
      </c>
      <c r="L111" t="n">
        <v>26</v>
      </c>
      <c r="M111" t="n">
        <v>0</v>
      </c>
      <c r="N111" t="n">
        <v>44</v>
      </c>
      <c r="O111" t="n">
        <v>25</v>
      </c>
      <c r="P111" t="n">
        <v>0</v>
      </c>
      <c r="Q111" t="n">
        <v>43</v>
      </c>
      <c r="R111" t="n">
        <v>22</v>
      </c>
      <c r="S111" t="n">
        <v>0</v>
      </c>
      <c r="T111" t="n">
        <v>45</v>
      </c>
      <c r="U111" t="n">
        <v>22</v>
      </c>
      <c r="V111" t="n">
        <v>1</v>
      </c>
      <c r="W111" t="n">
        <v>36</v>
      </c>
      <c r="X111" t="n">
        <v>16</v>
      </c>
      <c r="Y111" t="n">
        <v>0</v>
      </c>
      <c r="Z111" t="n">
        <v>39</v>
      </c>
      <c r="AA111" t="n">
        <v>21</v>
      </c>
      <c r="AB111" t="n">
        <v>0</v>
      </c>
      <c r="AC111" t="n">
        <v>44</v>
      </c>
      <c r="AD111" t="n">
        <v>25</v>
      </c>
      <c r="AE111" t="n">
        <v>0</v>
      </c>
      <c r="AF111" t="n">
        <v>45</v>
      </c>
      <c r="AG111" t="n">
        <v>23</v>
      </c>
      <c r="AH111" t="n">
        <v>89</v>
      </c>
      <c r="AI111" t="n">
        <v>109</v>
      </c>
      <c r="AJ111" t="n">
        <v>97</v>
      </c>
      <c r="AK111">
        <f>HYPERLINK("file:///home/hermansyah/Aplikasi%20TA/data/rgbdaun/105.png","LINK")</f>
        <v/>
      </c>
      <c r="AL111" t="n">
        <v>21</v>
      </c>
      <c r="AM111" t="n">
        <v>14</v>
      </c>
      <c r="AN111">
        <f>HYPERLINK("file:///home/hermansyah/Aplikasi%20TA/data/kelilingdaun/105_atas.png","LINK")</f>
        <v/>
      </c>
      <c r="AO111">
        <f>HYPERLINK("file:///home/hermansyah/Aplikasi%20TA/data/kelilingdaun/105_bawah.png","LINK")</f>
        <v/>
      </c>
      <c r="AP111" t="n">
        <v>0.9903552497270993</v>
      </c>
      <c r="AQ111" t="n">
        <v>0.7154457156190882</v>
      </c>
      <c r="AR111" t="n">
        <v>0.0005831793056296849</v>
      </c>
      <c r="AS111" t="n">
        <v>4</v>
      </c>
      <c r="AT111" t="n">
        <v>4</v>
      </c>
      <c r="AU111" t="n">
        <v>3</v>
      </c>
    </row>
    <row r="112" spans="1:47">
      <c r="A112" t="n">
        <v>106</v>
      </c>
      <c r="B112" t="s">
        <v>135</v>
      </c>
      <c r="C112" t="n">
        <v>6.4</v>
      </c>
      <c r="D112" t="n">
        <v>6.5</v>
      </c>
      <c r="E112">
        <f>HYPERLINK("file:///home/hermansyah/Aplikasi%20TA/data/luasdaun/106_atas.png","LINK")</f>
        <v/>
      </c>
      <c r="F112">
        <f>HYPERLINK("file:///home/hermansyah/Aplikasi%20TA/data/luasdaun/106_bawah.png","LINK")</f>
        <v/>
      </c>
      <c r="G112" t="n">
        <v>3</v>
      </c>
      <c r="H112" t="n">
        <v>26</v>
      </c>
      <c r="I112" t="n">
        <v>4</v>
      </c>
      <c r="J112" t="n">
        <v>5</v>
      </c>
      <c r="K112" t="n">
        <v>24</v>
      </c>
      <c r="L112" t="n">
        <v>9</v>
      </c>
      <c r="M112" t="n">
        <v>4</v>
      </c>
      <c r="N112" t="n">
        <v>22</v>
      </c>
      <c r="O112" t="n">
        <v>9</v>
      </c>
      <c r="P112" t="n">
        <v>4</v>
      </c>
      <c r="Q112" t="n">
        <v>23</v>
      </c>
      <c r="R112" t="n">
        <v>8</v>
      </c>
      <c r="S112" t="n">
        <v>2</v>
      </c>
      <c r="T112" t="n">
        <v>21</v>
      </c>
      <c r="U112" t="n">
        <v>4</v>
      </c>
      <c r="V112" t="n">
        <v>6</v>
      </c>
      <c r="W112" t="n">
        <v>25</v>
      </c>
      <c r="X112" t="n">
        <v>6</v>
      </c>
      <c r="Y112" t="n">
        <v>5</v>
      </c>
      <c r="Z112" t="n">
        <v>26</v>
      </c>
      <c r="AA112" t="n">
        <v>11</v>
      </c>
      <c r="AB112" t="n">
        <v>5</v>
      </c>
      <c r="AC112" t="n">
        <v>22</v>
      </c>
      <c r="AD112" t="n">
        <v>9</v>
      </c>
      <c r="AE112" t="n">
        <v>3</v>
      </c>
      <c r="AF112" t="n">
        <v>22</v>
      </c>
      <c r="AG112" t="n">
        <v>5</v>
      </c>
      <c r="AH112" t="n">
        <v>6</v>
      </c>
      <c r="AI112" t="n">
        <v>26</v>
      </c>
      <c r="AJ112" t="n">
        <v>7</v>
      </c>
      <c r="AK112">
        <f>HYPERLINK("file:///home/hermansyah/Aplikasi%20TA/data/rgbdaun/106.png","LINK")</f>
        <v/>
      </c>
      <c r="AL112" t="n">
        <v>21</v>
      </c>
      <c r="AM112" t="n">
        <v>18</v>
      </c>
      <c r="AN112">
        <f>HYPERLINK("file:///home/hermansyah/Aplikasi%20TA/data/kelilingdaun/106_atas.png","LINK")</f>
        <v/>
      </c>
      <c r="AO112">
        <f>HYPERLINK("file:///home/hermansyah/Aplikasi%20TA/data/kelilingdaun/106_bawah.png","LINK")</f>
        <v/>
      </c>
      <c r="AP112" t="n">
        <v>0.9903552492670767</v>
      </c>
      <c r="AQ112" t="n">
        <v>0.7156161612341793</v>
      </c>
      <c r="AR112" t="n">
        <v>2.147106581638714e-07</v>
      </c>
      <c r="AS112" t="n">
        <v>5</v>
      </c>
      <c r="AT112" t="n">
        <v>5</v>
      </c>
      <c r="AU112" t="n">
        <v>4</v>
      </c>
    </row>
    <row r="113" spans="1:47">
      <c r="A113" t="n">
        <v>107</v>
      </c>
      <c r="B113" t="s">
        <v>136</v>
      </c>
      <c r="C113" t="n">
        <v>5.800000000000001</v>
      </c>
      <c r="D113" t="n">
        <v>6.600000000000001</v>
      </c>
      <c r="E113">
        <f>HYPERLINK("file:///home/hermansyah/Aplikasi%20TA/data/luasdaun/107_atas.png","LINK")</f>
        <v/>
      </c>
      <c r="F113">
        <f>HYPERLINK("file:///home/hermansyah/Aplikasi%20TA/data/luasdaun/107_bawah.png","LINK")</f>
        <v/>
      </c>
      <c r="G113" t="n">
        <v>1</v>
      </c>
      <c r="H113" t="n">
        <v>25</v>
      </c>
      <c r="I113" t="n">
        <v>7</v>
      </c>
      <c r="J113" t="n">
        <v>4</v>
      </c>
      <c r="K113" t="n">
        <v>24</v>
      </c>
      <c r="L113" t="n">
        <v>12</v>
      </c>
      <c r="M113" t="n">
        <v>4</v>
      </c>
      <c r="N113" t="n">
        <v>25</v>
      </c>
      <c r="O113" t="n">
        <v>16</v>
      </c>
      <c r="P113" t="n">
        <v>0</v>
      </c>
      <c r="Q113" t="n">
        <v>22</v>
      </c>
      <c r="R113" t="n">
        <v>10</v>
      </c>
      <c r="S113" t="n">
        <v>2</v>
      </c>
      <c r="T113" t="n">
        <v>25</v>
      </c>
      <c r="U113" t="n">
        <v>11</v>
      </c>
      <c r="V113" t="n">
        <v>3</v>
      </c>
      <c r="W113" t="n">
        <v>26</v>
      </c>
      <c r="X113" t="n">
        <v>12</v>
      </c>
      <c r="Y113" t="n">
        <v>4</v>
      </c>
      <c r="Z113" t="n">
        <v>24</v>
      </c>
      <c r="AA113" t="n">
        <v>12</v>
      </c>
      <c r="AB113" t="n">
        <v>7</v>
      </c>
      <c r="AC113" t="n">
        <v>29</v>
      </c>
      <c r="AD113" t="n">
        <v>17</v>
      </c>
      <c r="AE113" t="n">
        <v>2</v>
      </c>
      <c r="AF113" t="n">
        <v>25</v>
      </c>
      <c r="AG113" t="n">
        <v>11</v>
      </c>
      <c r="AH113" t="n">
        <v>3</v>
      </c>
      <c r="AI113" t="n">
        <v>28</v>
      </c>
      <c r="AJ113" t="n">
        <v>14</v>
      </c>
      <c r="AK113">
        <f>HYPERLINK("file:///home/hermansyah/Aplikasi%20TA/data/rgbdaun/107.png","LINK")</f>
        <v/>
      </c>
      <c r="AL113" t="n">
        <v>19</v>
      </c>
      <c r="AM113" t="n">
        <v>18</v>
      </c>
      <c r="AN113">
        <f>HYPERLINK("file:///home/hermansyah/Aplikasi%20TA/data/kelilingdaun/107_atas.png","LINK")</f>
        <v/>
      </c>
      <c r="AO113">
        <f>HYPERLINK("file:///home/hermansyah/Aplikasi%20TA/data/kelilingdaun/107_bawah.png","LINK")</f>
        <v/>
      </c>
      <c r="AP113" t="n">
        <v>0.9903552492670767</v>
      </c>
      <c r="AQ113" t="n">
        <v>0.7166358976996599</v>
      </c>
      <c r="AR113" t="n">
        <v>1.337185334167923e-07</v>
      </c>
      <c r="AS113" t="n">
        <v>5</v>
      </c>
      <c r="AT113" t="n">
        <v>5</v>
      </c>
      <c r="AU113" t="n">
        <v>5</v>
      </c>
    </row>
    <row r="114" spans="1:47">
      <c r="A114" t="n">
        <v>108</v>
      </c>
      <c r="B114" t="s">
        <v>137</v>
      </c>
      <c r="C114" t="n">
        <v>6</v>
      </c>
      <c r="D114" t="n">
        <v>4.600000000000001</v>
      </c>
      <c r="E114">
        <f>HYPERLINK("file:///home/hermansyah/Aplikasi%20TA/data/luasdaun/108_atas.png","LINK")</f>
        <v/>
      </c>
      <c r="F114">
        <f>HYPERLINK("file:///home/hermansyah/Aplikasi%20TA/data/luasdaun/108_bawah.png","LINK")</f>
        <v/>
      </c>
      <c r="G114" t="n">
        <v>8</v>
      </c>
      <c r="H114" t="n">
        <v>31</v>
      </c>
      <c r="I114" t="n">
        <v>17</v>
      </c>
      <c r="J114" t="n">
        <v>5</v>
      </c>
      <c r="K114" t="n">
        <v>24</v>
      </c>
      <c r="L114" t="n">
        <v>15</v>
      </c>
      <c r="M114" t="n">
        <v>6</v>
      </c>
      <c r="N114" t="n">
        <v>27</v>
      </c>
      <c r="O114" t="n">
        <v>18</v>
      </c>
      <c r="P114" t="n">
        <v>4</v>
      </c>
      <c r="Q114" t="n">
        <v>26</v>
      </c>
      <c r="R114" t="n">
        <v>14</v>
      </c>
      <c r="S114" t="n">
        <v>3</v>
      </c>
      <c r="T114" t="n">
        <v>26</v>
      </c>
      <c r="U114" t="n">
        <v>12</v>
      </c>
      <c r="V114" t="n">
        <v>4</v>
      </c>
      <c r="W114" t="n">
        <v>21</v>
      </c>
      <c r="X114" t="n">
        <v>8</v>
      </c>
      <c r="Y114" t="n">
        <v>5</v>
      </c>
      <c r="Z114" t="n">
        <v>22</v>
      </c>
      <c r="AA114" t="n">
        <v>13</v>
      </c>
      <c r="AB114" t="n">
        <v>6</v>
      </c>
      <c r="AC114" t="n">
        <v>28</v>
      </c>
      <c r="AD114" t="n">
        <v>16</v>
      </c>
      <c r="AE114" t="n">
        <v>6</v>
      </c>
      <c r="AF114" t="n">
        <v>11</v>
      </c>
      <c r="AG114" t="n">
        <v>12</v>
      </c>
      <c r="AH114" t="n">
        <v>6</v>
      </c>
      <c r="AI114" t="n">
        <v>29</v>
      </c>
      <c r="AJ114" t="n">
        <v>15</v>
      </c>
      <c r="AK114">
        <f>HYPERLINK("file:///home/hermansyah/Aplikasi%20TA/data/rgbdaun/108.png","LINK")</f>
        <v/>
      </c>
      <c r="AL114" t="n">
        <v>21</v>
      </c>
      <c r="AM114" t="n">
        <v>16</v>
      </c>
      <c r="AN114">
        <f>HYPERLINK("file:///home/hermansyah/Aplikasi%20TA/data/kelilingdaun/108_atas.png","LINK")</f>
        <v/>
      </c>
      <c r="AO114">
        <f>HYPERLINK("file:///home/hermansyah/Aplikasi%20TA/data/kelilingdaun/108_bawah.png","LINK")</f>
        <v/>
      </c>
      <c r="AP114" t="n">
        <v>0.9903552492670685</v>
      </c>
      <c r="AQ114" t="n">
        <v>0.7155509812087466</v>
      </c>
      <c r="AR114" t="n">
        <v>2.172022859689142e-07</v>
      </c>
      <c r="AS114" t="n">
        <v>5</v>
      </c>
      <c r="AT114" t="n">
        <v>5</v>
      </c>
      <c r="AU114" t="n">
        <v>5</v>
      </c>
    </row>
    <row r="115" spans="1:47">
      <c r="A115" t="n">
        <v>109</v>
      </c>
      <c r="B115" t="s">
        <v>138</v>
      </c>
      <c r="C115" t="n">
        <v>6.2</v>
      </c>
      <c r="D115" t="n">
        <v>3.9</v>
      </c>
      <c r="E115">
        <f>HYPERLINK("file:///home/hermansyah/Aplikasi%20TA/data/luasdaun/109_atas.png","LINK")</f>
        <v/>
      </c>
      <c r="F115">
        <f>HYPERLINK("file:///home/hermansyah/Aplikasi%20TA/data/luasdaun/109_bawah.png","LINK")</f>
        <v/>
      </c>
      <c r="G115" t="n">
        <v>3</v>
      </c>
      <c r="H115" t="n">
        <v>22</v>
      </c>
      <c r="I115" t="n">
        <v>1</v>
      </c>
      <c r="J115" t="n">
        <v>11</v>
      </c>
      <c r="K115" t="n">
        <v>31</v>
      </c>
      <c r="L115" t="n">
        <v>18</v>
      </c>
      <c r="M115" t="n">
        <v>6</v>
      </c>
      <c r="N115" t="n">
        <v>24</v>
      </c>
      <c r="O115" t="n">
        <v>11</v>
      </c>
      <c r="P115" t="n">
        <v>7</v>
      </c>
      <c r="Q115" t="n">
        <v>26</v>
      </c>
      <c r="R115" t="n">
        <v>11</v>
      </c>
      <c r="S115" t="n">
        <v>6</v>
      </c>
      <c r="T115" t="n">
        <v>25</v>
      </c>
      <c r="U115" t="n">
        <v>6</v>
      </c>
      <c r="V115" t="n">
        <v>1</v>
      </c>
      <c r="W115" t="n">
        <v>20</v>
      </c>
      <c r="X115" t="n">
        <v>1</v>
      </c>
      <c r="Y115" t="n">
        <v>4</v>
      </c>
      <c r="Z115" t="n">
        <v>21</v>
      </c>
      <c r="AA115" t="n">
        <v>7</v>
      </c>
      <c r="AB115" t="n">
        <v>4</v>
      </c>
      <c r="AC115" t="n">
        <v>21</v>
      </c>
      <c r="AD115" t="n">
        <v>7</v>
      </c>
      <c r="AE115" t="n">
        <v>4</v>
      </c>
      <c r="AF115" t="n">
        <v>23</v>
      </c>
      <c r="AG115" t="n">
        <v>6</v>
      </c>
      <c r="AH115" t="n">
        <v>3</v>
      </c>
      <c r="AI115" t="n">
        <v>23</v>
      </c>
      <c r="AJ115" t="n">
        <v>4</v>
      </c>
      <c r="AK115">
        <f>HYPERLINK("file:///home/hermansyah/Aplikasi%20TA/data/rgbdaun/109.png","LINK")</f>
        <v/>
      </c>
      <c r="AL115" t="n">
        <v>19</v>
      </c>
      <c r="AM115" t="n">
        <v>16</v>
      </c>
      <c r="AN115">
        <f>HYPERLINK("file:///home/hermansyah/Aplikasi%20TA/data/kelilingdaun/109_atas.png","LINK")</f>
        <v/>
      </c>
      <c r="AO115">
        <f>HYPERLINK("file:///home/hermansyah/Aplikasi%20TA/data/kelilingdaun/109_bawah.png","LINK")</f>
        <v/>
      </c>
      <c r="AP115" t="n">
        <v>0.9903552492725104</v>
      </c>
      <c r="AQ115" t="n">
        <v>0.7154875220289892</v>
      </c>
      <c r="AR115" t="n">
        <v>2.161028841331895e-07</v>
      </c>
      <c r="AS115" t="n">
        <v>5</v>
      </c>
      <c r="AT115" t="n">
        <v>4</v>
      </c>
      <c r="AU115" t="n">
        <v>5</v>
      </c>
    </row>
    <row r="116" spans="1:47">
      <c r="A116" t="n">
        <v>110</v>
      </c>
      <c r="B116" t="s">
        <v>139</v>
      </c>
      <c r="C116" t="n">
        <v>5.2</v>
      </c>
      <c r="D116" t="n">
        <v>4.4</v>
      </c>
      <c r="E116">
        <f>HYPERLINK("file:///home/hermansyah/Aplikasi%20TA/data/luasdaun/110_atas.png","LINK")</f>
        <v/>
      </c>
      <c r="F116">
        <f>HYPERLINK("file:///home/hermansyah/Aplikasi%20TA/data/luasdaun/110_bawah.png","LINK")</f>
        <v/>
      </c>
      <c r="G116" t="n">
        <v>2</v>
      </c>
      <c r="H116" t="n">
        <v>19</v>
      </c>
      <c r="I116" t="n">
        <v>10</v>
      </c>
      <c r="J116" t="n">
        <v>5</v>
      </c>
      <c r="K116" t="n">
        <v>21</v>
      </c>
      <c r="L116" t="n">
        <v>14</v>
      </c>
      <c r="M116" t="n">
        <v>1</v>
      </c>
      <c r="N116" t="n">
        <v>19</v>
      </c>
      <c r="O116" t="n">
        <v>12</v>
      </c>
      <c r="P116" t="n">
        <v>4</v>
      </c>
      <c r="Q116" t="n">
        <v>25</v>
      </c>
      <c r="R116" t="n">
        <v>17</v>
      </c>
      <c r="S116" t="n">
        <v>3</v>
      </c>
      <c r="T116" t="n">
        <v>25</v>
      </c>
      <c r="U116" t="n">
        <v>13</v>
      </c>
      <c r="V116" t="n">
        <v>1</v>
      </c>
      <c r="W116" t="n">
        <v>16</v>
      </c>
      <c r="X116" t="n">
        <v>8</v>
      </c>
      <c r="Y116" t="n">
        <v>5</v>
      </c>
      <c r="Z116" t="n">
        <v>19</v>
      </c>
      <c r="AA116" t="n">
        <v>13</v>
      </c>
      <c r="AB116" t="n">
        <v>4</v>
      </c>
      <c r="AC116" t="n">
        <v>20</v>
      </c>
      <c r="AD116" t="n">
        <v>13</v>
      </c>
      <c r="AE116" t="n">
        <v>7</v>
      </c>
      <c r="AF116" t="n">
        <v>26</v>
      </c>
      <c r="AG116" t="n">
        <v>17</v>
      </c>
      <c r="AH116" t="n">
        <v>1</v>
      </c>
      <c r="AI116" t="n">
        <v>28</v>
      </c>
      <c r="AJ116" t="n">
        <v>12</v>
      </c>
      <c r="AK116">
        <f>HYPERLINK("file:///home/hermansyah/Aplikasi%20TA/data/rgbdaun/110.png","LINK")</f>
        <v/>
      </c>
      <c r="AL116" t="n">
        <v>17</v>
      </c>
      <c r="AM116" t="n">
        <v>15</v>
      </c>
      <c r="AN116">
        <f>HYPERLINK("file:///home/hermansyah/Aplikasi%20TA/data/kelilingdaun/110_atas.png","LINK")</f>
        <v/>
      </c>
      <c r="AO116">
        <f>HYPERLINK("file:///home/hermansyah/Aplikasi%20TA/data/kelilingdaun/110_bawah.png","LINK")</f>
        <v/>
      </c>
      <c r="AP116" t="n">
        <v>0.9903552492670195</v>
      </c>
      <c r="AQ116" t="n">
        <v>0.7153446329944174</v>
      </c>
      <c r="AR116" t="n">
        <v>1.29589252244552e-05</v>
      </c>
      <c r="AS116" t="n">
        <v>5</v>
      </c>
      <c r="AT116" t="n">
        <v>4</v>
      </c>
      <c r="AU116" t="n">
        <v>5</v>
      </c>
    </row>
    <row r="117" spans="1:47">
      <c r="A117" t="n">
        <v>111</v>
      </c>
      <c r="B117" t="s">
        <v>140</v>
      </c>
      <c r="C117" t="n">
        <v>9.1</v>
      </c>
      <c r="D117" t="n">
        <v>6.2</v>
      </c>
      <c r="E117">
        <f>HYPERLINK("file:///home/hermansyah/Aplikasi%20TA/data/luasdaun/111_atas.png","LINK")</f>
        <v/>
      </c>
      <c r="F117">
        <f>HYPERLINK("file:///home/hermansyah/Aplikasi%20TA/data/luasdaun/111_bawah.png","LINK")</f>
        <v/>
      </c>
      <c r="G117" t="n">
        <v>3</v>
      </c>
      <c r="H117" t="n">
        <v>24</v>
      </c>
      <c r="I117" t="n">
        <v>9</v>
      </c>
      <c r="J117" t="n">
        <v>5</v>
      </c>
      <c r="K117" t="n">
        <v>22</v>
      </c>
      <c r="L117" t="n">
        <v>13</v>
      </c>
      <c r="M117" t="n">
        <v>5</v>
      </c>
      <c r="N117" t="n">
        <v>22</v>
      </c>
      <c r="O117" t="n">
        <v>13</v>
      </c>
      <c r="P117" t="n">
        <v>2</v>
      </c>
      <c r="Q117" t="n">
        <v>19</v>
      </c>
      <c r="R117" t="n">
        <v>8</v>
      </c>
      <c r="S117" t="n">
        <v>3</v>
      </c>
      <c r="T117" t="n">
        <v>20</v>
      </c>
      <c r="U117" t="n">
        <v>7</v>
      </c>
      <c r="V117" t="n">
        <v>3</v>
      </c>
      <c r="W117" t="n">
        <v>20</v>
      </c>
      <c r="X117" t="n">
        <v>6</v>
      </c>
      <c r="Y117" t="n">
        <v>5</v>
      </c>
      <c r="Z117" t="n">
        <v>20</v>
      </c>
      <c r="AA117" t="n">
        <v>12</v>
      </c>
      <c r="AB117" t="n">
        <v>4</v>
      </c>
      <c r="AC117" t="n">
        <v>19</v>
      </c>
      <c r="AD117" t="n">
        <v>11</v>
      </c>
      <c r="AE117" t="n">
        <v>5</v>
      </c>
      <c r="AF117" t="n">
        <v>20</v>
      </c>
      <c r="AG117" t="n">
        <v>12</v>
      </c>
      <c r="AH117" t="n">
        <v>5</v>
      </c>
      <c r="AI117" t="n">
        <v>22</v>
      </c>
      <c r="AJ117" t="n">
        <v>9</v>
      </c>
      <c r="AK117">
        <f>HYPERLINK("file:///home/hermansyah/Aplikasi%20TA/data/rgbdaun/111.png","LINK")</f>
        <v/>
      </c>
      <c r="AL117" t="n">
        <v>23</v>
      </c>
      <c r="AM117" t="n">
        <v>17</v>
      </c>
      <c r="AN117">
        <f>HYPERLINK("file:///home/hermansyah/Aplikasi%20TA/data/kelilingdaun/111_atas.png","LINK")</f>
        <v/>
      </c>
      <c r="AO117">
        <f>HYPERLINK("file:///home/hermansyah/Aplikasi%20TA/data/kelilingdaun/111_bawah.png","LINK")</f>
        <v/>
      </c>
      <c r="AP117" t="n">
        <v>0.9903552492670767</v>
      </c>
      <c r="AQ117" t="n">
        <v>0.7156238658242158</v>
      </c>
      <c r="AR117" t="n">
        <v>2.631736834048528e-07</v>
      </c>
      <c r="AS117" t="n">
        <v>5</v>
      </c>
      <c r="AT117" t="n">
        <v>5</v>
      </c>
      <c r="AU117" t="n">
        <v>4</v>
      </c>
    </row>
    <row r="118" spans="1:47">
      <c r="A118" t="n">
        <v>112</v>
      </c>
      <c r="B118" t="s">
        <v>141</v>
      </c>
      <c r="C118" t="n">
        <v>5.300000000000001</v>
      </c>
      <c r="D118" t="n">
        <v>3.6</v>
      </c>
      <c r="E118">
        <f>HYPERLINK("file:///home/hermansyah/Aplikasi%20TA/data/luasdaun/112_atas.png","LINK")</f>
        <v/>
      </c>
      <c r="F118">
        <f>HYPERLINK("file:///home/hermansyah/Aplikasi%20TA/data/luasdaun/112_bawah.png","LINK")</f>
        <v/>
      </c>
      <c r="G118" t="n">
        <v>4</v>
      </c>
      <c r="H118" t="n">
        <v>25</v>
      </c>
      <c r="I118" t="n">
        <v>10</v>
      </c>
      <c r="J118" t="n">
        <v>2</v>
      </c>
      <c r="K118" t="n">
        <v>22</v>
      </c>
      <c r="L118" t="n">
        <v>10</v>
      </c>
      <c r="M118" t="n">
        <v>6</v>
      </c>
      <c r="N118" t="n">
        <v>25</v>
      </c>
      <c r="O118" t="n">
        <v>16</v>
      </c>
      <c r="P118" t="n">
        <v>8</v>
      </c>
      <c r="Q118" t="n">
        <v>28</v>
      </c>
      <c r="R118" t="n">
        <v>16</v>
      </c>
      <c r="S118" t="n">
        <v>5</v>
      </c>
      <c r="T118" t="n">
        <v>23</v>
      </c>
      <c r="U118" t="n">
        <v>10</v>
      </c>
      <c r="V118" t="n">
        <v>4</v>
      </c>
      <c r="W118" t="n">
        <v>32</v>
      </c>
      <c r="X118" t="n">
        <v>13</v>
      </c>
      <c r="Y118" t="n">
        <v>3</v>
      </c>
      <c r="Z118" t="n">
        <v>26</v>
      </c>
      <c r="AA118" t="n">
        <v>12</v>
      </c>
      <c r="AB118" t="n">
        <v>6</v>
      </c>
      <c r="AC118" t="n">
        <v>26</v>
      </c>
      <c r="AD118" t="n">
        <v>14</v>
      </c>
      <c r="AE118" t="n">
        <v>5</v>
      </c>
      <c r="AF118" t="n">
        <v>22</v>
      </c>
      <c r="AG118" t="n">
        <v>11</v>
      </c>
      <c r="AH118" t="n">
        <v>31</v>
      </c>
      <c r="AI118" t="n">
        <v>60</v>
      </c>
      <c r="AJ118" t="n">
        <v>44</v>
      </c>
      <c r="AK118">
        <f>HYPERLINK("file:///home/hermansyah/Aplikasi%20TA/data/rgbdaun/112.png","LINK")</f>
        <v/>
      </c>
      <c r="AL118" t="n">
        <v>20</v>
      </c>
      <c r="AM118" t="n">
        <v>16</v>
      </c>
      <c r="AN118">
        <f>HYPERLINK("file:///home/hermansyah/Aplikasi%20TA/data/kelilingdaun/112_atas.png","LINK")</f>
        <v/>
      </c>
      <c r="AO118">
        <f>HYPERLINK("file:///home/hermansyah/Aplikasi%20TA/data/kelilingdaun/112_bawah.png","LINK")</f>
        <v/>
      </c>
      <c r="AP118" t="n">
        <v>0.9903552492728277</v>
      </c>
      <c r="AQ118" t="n">
        <v>0.7155216681100861</v>
      </c>
      <c r="AR118" t="n">
        <v>1.399854041599703e-05</v>
      </c>
      <c r="AS118" t="n">
        <v>5</v>
      </c>
      <c r="AT118" t="n">
        <v>5</v>
      </c>
      <c r="AU118" t="n">
        <v>5</v>
      </c>
    </row>
    <row r="119" spans="1:47">
      <c r="A119" t="n">
        <v>113</v>
      </c>
      <c r="B119" t="s">
        <v>142</v>
      </c>
      <c r="C119" t="n">
        <v>7.800000000000001</v>
      </c>
      <c r="D119" t="n">
        <v>4.4</v>
      </c>
      <c r="E119">
        <f>HYPERLINK("file:///home/hermansyah/Aplikasi%20TA/data/luasdaun/113_atas.png","LINK")</f>
        <v/>
      </c>
      <c r="F119">
        <f>HYPERLINK("file:///home/hermansyah/Aplikasi%20TA/data/luasdaun/113_bawah.png","LINK")</f>
        <v/>
      </c>
      <c r="G119" t="n">
        <v>3</v>
      </c>
      <c r="H119" t="n">
        <v>26</v>
      </c>
      <c r="I119" t="n">
        <v>4</v>
      </c>
      <c r="J119" t="n">
        <v>4</v>
      </c>
      <c r="K119" t="n">
        <v>23</v>
      </c>
      <c r="L119" t="n">
        <v>6</v>
      </c>
      <c r="M119" t="n">
        <v>1</v>
      </c>
      <c r="N119" t="n">
        <v>22</v>
      </c>
      <c r="O119" t="n">
        <v>7</v>
      </c>
      <c r="P119" t="n">
        <v>1</v>
      </c>
      <c r="Q119" t="n">
        <v>26</v>
      </c>
      <c r="R119" t="n">
        <v>6</v>
      </c>
      <c r="S119" t="n">
        <v>2</v>
      </c>
      <c r="T119" t="n">
        <v>28</v>
      </c>
      <c r="U119" t="n">
        <v>5</v>
      </c>
      <c r="V119" t="n">
        <v>2</v>
      </c>
      <c r="W119" t="n">
        <v>24</v>
      </c>
      <c r="X119" t="n">
        <v>5</v>
      </c>
      <c r="Y119" t="n">
        <v>6</v>
      </c>
      <c r="Z119" t="n">
        <v>25</v>
      </c>
      <c r="AA119" t="n">
        <v>10</v>
      </c>
      <c r="AB119" t="n">
        <v>5</v>
      </c>
      <c r="AC119" t="n">
        <v>25</v>
      </c>
      <c r="AD119" t="n">
        <v>12</v>
      </c>
      <c r="AE119" t="n">
        <v>2</v>
      </c>
      <c r="AF119" t="n">
        <v>24</v>
      </c>
      <c r="AG119" t="n">
        <v>6</v>
      </c>
      <c r="AH119" t="n">
        <v>8</v>
      </c>
      <c r="AI119" t="n">
        <v>37</v>
      </c>
      <c r="AJ119" t="n">
        <v>14</v>
      </c>
      <c r="AK119">
        <f>HYPERLINK("file:///home/hermansyah/Aplikasi%20TA/data/rgbdaun/113.png","LINK")</f>
        <v/>
      </c>
      <c r="AL119" t="n">
        <v>23</v>
      </c>
      <c r="AM119" t="n">
        <v>15</v>
      </c>
      <c r="AN119">
        <f>HYPERLINK("file:///home/hermansyah/Aplikasi%20TA/data/kelilingdaun/113_atas.png","LINK")</f>
        <v/>
      </c>
      <c r="AO119">
        <f>HYPERLINK("file:///home/hermansyah/Aplikasi%20TA/data/kelilingdaun/113_bawah.png","LINK")</f>
        <v/>
      </c>
      <c r="AP119" t="n">
        <v>0.9903552492772694</v>
      </c>
      <c r="AQ119" t="n">
        <v>0.7155636027462589</v>
      </c>
      <c r="AR119" t="n">
        <v>9.001051312109234e-06</v>
      </c>
      <c r="AS119" t="n">
        <v>5</v>
      </c>
      <c r="AT119" t="n">
        <v>5</v>
      </c>
      <c r="AU119" t="n">
        <v>5</v>
      </c>
    </row>
    <row r="120" spans="1:47">
      <c r="A120" t="n">
        <v>114</v>
      </c>
      <c r="B120" t="s">
        <v>143</v>
      </c>
      <c r="C120" t="n">
        <v>6.5</v>
      </c>
      <c r="D120" t="n">
        <v>3.9</v>
      </c>
      <c r="E120">
        <f>HYPERLINK("file:///home/hermansyah/Aplikasi%20TA/data/luasdaun/114_atas.png","LINK")</f>
        <v/>
      </c>
      <c r="F120">
        <f>HYPERLINK("file:///home/hermansyah/Aplikasi%20TA/data/luasdaun/114_bawah.png","LINK")</f>
        <v/>
      </c>
      <c r="G120" t="n">
        <v>4</v>
      </c>
      <c r="H120" t="n">
        <v>17</v>
      </c>
      <c r="I120" t="n">
        <v>1</v>
      </c>
      <c r="J120" t="n">
        <v>8</v>
      </c>
      <c r="K120" t="n">
        <v>25</v>
      </c>
      <c r="L120" t="n">
        <v>14</v>
      </c>
      <c r="M120" t="n">
        <v>4</v>
      </c>
      <c r="N120" t="n">
        <v>22</v>
      </c>
      <c r="O120" t="n">
        <v>9</v>
      </c>
      <c r="P120" t="n">
        <v>7</v>
      </c>
      <c r="Q120" t="n">
        <v>26</v>
      </c>
      <c r="R120" t="n">
        <v>11</v>
      </c>
      <c r="S120" t="n">
        <v>3</v>
      </c>
      <c r="T120" t="n">
        <v>20</v>
      </c>
      <c r="U120" t="n">
        <v>6</v>
      </c>
      <c r="V120" t="n">
        <v>4</v>
      </c>
      <c r="W120" t="n">
        <v>17</v>
      </c>
      <c r="X120" t="n">
        <v>1</v>
      </c>
      <c r="Y120" t="n">
        <v>4</v>
      </c>
      <c r="Z120" t="n">
        <v>21</v>
      </c>
      <c r="AA120" t="n">
        <v>8</v>
      </c>
      <c r="AB120" t="n">
        <v>6</v>
      </c>
      <c r="AC120" t="n">
        <v>24</v>
      </c>
      <c r="AD120" t="n">
        <v>11</v>
      </c>
      <c r="AE120" t="n">
        <v>7</v>
      </c>
      <c r="AF120" t="n">
        <v>26</v>
      </c>
      <c r="AG120" t="n">
        <v>11</v>
      </c>
      <c r="AH120" t="n">
        <v>4</v>
      </c>
      <c r="AI120" t="n">
        <v>23</v>
      </c>
      <c r="AJ120" t="n">
        <v>8</v>
      </c>
      <c r="AK120">
        <f>HYPERLINK("file:///home/hermansyah/Aplikasi%20TA/data/rgbdaun/114.png","LINK")</f>
        <v/>
      </c>
      <c r="AL120" t="n">
        <v>21</v>
      </c>
      <c r="AM120" t="n">
        <v>15</v>
      </c>
      <c r="AN120">
        <f>HYPERLINK("file:///home/hermansyah/Aplikasi%20TA/data/kelilingdaun/114_atas.png","LINK")</f>
        <v/>
      </c>
      <c r="AO120">
        <f>HYPERLINK("file:///home/hermansyah/Aplikasi%20TA/data/kelilingdaun/114_bawah.png","LINK")</f>
        <v/>
      </c>
      <c r="AP120" t="n">
        <v>0.9903552492839715</v>
      </c>
      <c r="AQ120" t="n">
        <v>0.7155046454634436</v>
      </c>
      <c r="AR120" t="n">
        <v>7.120955944755385e-07</v>
      </c>
      <c r="AS120" t="n">
        <v>5</v>
      </c>
      <c r="AT120" t="n">
        <v>5</v>
      </c>
      <c r="AU120" t="n">
        <v>5</v>
      </c>
    </row>
    <row r="121" spans="1:47">
      <c r="A121" t="n">
        <v>115</v>
      </c>
      <c r="B121" t="s">
        <v>144</v>
      </c>
      <c r="C121" t="n">
        <v>5.9</v>
      </c>
      <c r="D121" t="n">
        <v>3.5</v>
      </c>
      <c r="E121">
        <f>HYPERLINK("file:///home/hermansyah/Aplikasi%20TA/data/luasdaun/115_atas.png","LINK")</f>
        <v/>
      </c>
      <c r="F121">
        <f>HYPERLINK("file:///home/hermansyah/Aplikasi%20TA/data/luasdaun/115_bawah.png","LINK")</f>
        <v/>
      </c>
      <c r="G121" t="n">
        <v>3</v>
      </c>
      <c r="H121" t="n">
        <v>19</v>
      </c>
      <c r="I121" t="n">
        <v>2</v>
      </c>
      <c r="J121" t="n">
        <v>5</v>
      </c>
      <c r="K121" t="n">
        <v>19</v>
      </c>
      <c r="L121" t="n">
        <v>7</v>
      </c>
      <c r="M121" t="n">
        <v>3</v>
      </c>
      <c r="N121" t="n">
        <v>19</v>
      </c>
      <c r="O121" t="n">
        <v>8</v>
      </c>
      <c r="P121" t="n">
        <v>5</v>
      </c>
      <c r="Q121" t="n">
        <v>22</v>
      </c>
      <c r="R121" t="n">
        <v>8</v>
      </c>
      <c r="S121" t="n">
        <v>3</v>
      </c>
      <c r="T121" t="n">
        <v>22</v>
      </c>
      <c r="U121" t="n">
        <v>5</v>
      </c>
      <c r="V121" t="n">
        <v>5</v>
      </c>
      <c r="W121" t="n">
        <v>18</v>
      </c>
      <c r="X121" t="n">
        <v>2</v>
      </c>
      <c r="Y121" t="n">
        <v>6</v>
      </c>
      <c r="Z121" t="n">
        <v>20</v>
      </c>
      <c r="AA121" t="n">
        <v>8</v>
      </c>
      <c r="AB121" t="n">
        <v>7</v>
      </c>
      <c r="AC121" t="n">
        <v>24</v>
      </c>
      <c r="AD121" t="n">
        <v>11</v>
      </c>
      <c r="AE121" t="n">
        <v>4</v>
      </c>
      <c r="AF121" t="n">
        <v>21</v>
      </c>
      <c r="AG121" t="n">
        <v>7</v>
      </c>
      <c r="AH121" t="n">
        <v>7</v>
      </c>
      <c r="AI121" t="n">
        <v>29</v>
      </c>
      <c r="AJ121" t="n">
        <v>10</v>
      </c>
      <c r="AK121">
        <f>HYPERLINK("file:///home/hermansyah/Aplikasi%20TA/data/rgbdaun/115.png","LINK")</f>
        <v/>
      </c>
      <c r="AL121" t="n">
        <v>18</v>
      </c>
      <c r="AM121" t="n">
        <v>14</v>
      </c>
      <c r="AN121">
        <f>HYPERLINK("file:///home/hermansyah/Aplikasi%20TA/data/kelilingdaun/115_atas.png","LINK")</f>
        <v/>
      </c>
      <c r="AO121">
        <f>HYPERLINK("file:///home/hermansyah/Aplikasi%20TA/data/kelilingdaun/115_bawah.png","LINK")</f>
        <v/>
      </c>
      <c r="AP121" t="n">
        <v>0.9903552494178265</v>
      </c>
      <c r="AQ121" t="n">
        <v>0.7152776024519938</v>
      </c>
      <c r="AR121" t="n">
        <v>5.742570109877983e-06</v>
      </c>
      <c r="AS121" t="n">
        <v>4</v>
      </c>
      <c r="AT121" t="n">
        <v>4</v>
      </c>
      <c r="AU121" t="n">
        <v>5</v>
      </c>
    </row>
    <row r="122" spans="1:47">
      <c r="A122" t="n">
        <v>116</v>
      </c>
      <c r="B122" t="s">
        <v>145</v>
      </c>
      <c r="C122" t="n">
        <v>6.9</v>
      </c>
      <c r="D122" t="n">
        <v>3.9</v>
      </c>
      <c r="E122">
        <f>HYPERLINK("file:///home/hermansyah/Aplikasi%20TA/data/luasdaun/116_atas.png","LINK")</f>
        <v/>
      </c>
      <c r="F122">
        <f>HYPERLINK("file:///home/hermansyah/Aplikasi%20TA/data/luasdaun/116_bawah.png","LINK")</f>
        <v/>
      </c>
      <c r="G122" t="n">
        <v>1</v>
      </c>
      <c r="H122" t="n">
        <v>31</v>
      </c>
      <c r="I122" t="n">
        <v>6</v>
      </c>
      <c r="J122" t="n">
        <v>2</v>
      </c>
      <c r="K122" t="n">
        <v>30</v>
      </c>
      <c r="L122" t="n">
        <v>11</v>
      </c>
      <c r="M122" t="n">
        <v>1</v>
      </c>
      <c r="N122" t="n">
        <v>28</v>
      </c>
      <c r="O122" t="n">
        <v>12</v>
      </c>
      <c r="P122" t="n">
        <v>1</v>
      </c>
      <c r="Q122" t="n">
        <v>29</v>
      </c>
      <c r="R122" t="n">
        <v>10</v>
      </c>
      <c r="S122" t="n">
        <v>0</v>
      </c>
      <c r="T122" t="n">
        <v>26</v>
      </c>
      <c r="U122" t="n">
        <v>6</v>
      </c>
      <c r="V122" t="n">
        <v>2</v>
      </c>
      <c r="W122" t="n">
        <v>28</v>
      </c>
      <c r="X122" t="n">
        <v>5</v>
      </c>
      <c r="Y122" t="n">
        <v>4</v>
      </c>
      <c r="Z122" t="n">
        <v>27</v>
      </c>
      <c r="AA122" t="n">
        <v>12</v>
      </c>
      <c r="AB122" t="n">
        <v>2</v>
      </c>
      <c r="AC122" t="n">
        <v>30</v>
      </c>
      <c r="AD122" t="n">
        <v>11</v>
      </c>
      <c r="AE122" t="n">
        <v>0</v>
      </c>
      <c r="AF122" t="n">
        <v>27</v>
      </c>
      <c r="AG122" t="n">
        <v>7</v>
      </c>
      <c r="AH122" t="n">
        <v>0</v>
      </c>
      <c r="AI122" t="n">
        <v>32</v>
      </c>
      <c r="AJ122" t="n">
        <v>8</v>
      </c>
      <c r="AK122">
        <f>HYPERLINK("file:///home/hermansyah/Aplikasi%20TA/data/rgbdaun/116.png","LINK")</f>
        <v/>
      </c>
      <c r="AL122" t="n">
        <v>22</v>
      </c>
      <c r="AM122" t="n">
        <v>14</v>
      </c>
      <c r="AN122">
        <f>HYPERLINK("file:///home/hermansyah/Aplikasi%20TA/data/kelilingdaun/116_atas.png","LINK")</f>
        <v/>
      </c>
      <c r="AO122">
        <f>HYPERLINK("file:///home/hermansyah/Aplikasi%20TA/data/kelilingdaun/116_bawah.png","LINK")</f>
        <v/>
      </c>
      <c r="AP122" t="n">
        <v>0.9903552493434659</v>
      </c>
      <c r="AQ122" t="n">
        <v>0.7154861748449042</v>
      </c>
      <c r="AR122" t="n">
        <v>1.814221027848337e-07</v>
      </c>
      <c r="AS122" t="n">
        <v>5</v>
      </c>
      <c r="AT122" t="n">
        <v>4</v>
      </c>
      <c r="AU122" t="n">
        <v>5</v>
      </c>
    </row>
    <row r="123" spans="1:47">
      <c r="A123" t="n">
        <v>117</v>
      </c>
      <c r="B123" t="s">
        <v>146</v>
      </c>
      <c r="C123" t="n">
        <v>7.7</v>
      </c>
      <c r="D123" t="n">
        <v>4.9</v>
      </c>
      <c r="E123">
        <f>HYPERLINK("file:///home/hermansyah/Aplikasi%20TA/data/luasdaun/117_atas.png","LINK")</f>
        <v/>
      </c>
      <c r="F123">
        <f>HYPERLINK("file:///home/hermansyah/Aplikasi%20TA/data/luasdaun/117_bawah.png","LINK")</f>
        <v/>
      </c>
      <c r="G123" t="n">
        <v>0</v>
      </c>
      <c r="H123" t="n">
        <v>20</v>
      </c>
      <c r="I123" t="n">
        <v>7</v>
      </c>
      <c r="J123" t="n">
        <v>0</v>
      </c>
      <c r="K123" t="n">
        <v>26</v>
      </c>
      <c r="L123" t="n">
        <v>16</v>
      </c>
      <c r="M123" t="n">
        <v>0</v>
      </c>
      <c r="N123" t="n">
        <v>22</v>
      </c>
      <c r="O123" t="n">
        <v>10</v>
      </c>
      <c r="P123" t="n">
        <v>0</v>
      </c>
      <c r="Q123" t="n">
        <v>22</v>
      </c>
      <c r="R123" t="n">
        <v>10</v>
      </c>
      <c r="S123" t="n">
        <v>0</v>
      </c>
      <c r="T123" t="n">
        <v>20</v>
      </c>
      <c r="U123" t="n">
        <v>7</v>
      </c>
      <c r="V123" t="n">
        <v>1</v>
      </c>
      <c r="W123" t="n">
        <v>21</v>
      </c>
      <c r="X123" t="n">
        <v>8</v>
      </c>
      <c r="Y123" t="n">
        <v>1</v>
      </c>
      <c r="Z123" t="n">
        <v>20</v>
      </c>
      <c r="AA123" t="n">
        <v>11</v>
      </c>
      <c r="AB123" t="n">
        <v>3</v>
      </c>
      <c r="AC123" t="n">
        <v>22</v>
      </c>
      <c r="AD123" t="n">
        <v>13</v>
      </c>
      <c r="AE123" t="n">
        <v>3</v>
      </c>
      <c r="AF123" t="n">
        <v>22</v>
      </c>
      <c r="AG123" t="n">
        <v>13</v>
      </c>
      <c r="AH123" t="n">
        <v>0</v>
      </c>
      <c r="AI123" t="n">
        <v>20</v>
      </c>
      <c r="AJ123" t="n">
        <v>8</v>
      </c>
      <c r="AK123">
        <f>HYPERLINK("file:///home/hermansyah/Aplikasi%20TA/data/rgbdaun/117.png","LINK")</f>
        <v/>
      </c>
      <c r="AL123" t="n">
        <v>25</v>
      </c>
      <c r="AM123" t="n">
        <v>17</v>
      </c>
      <c r="AN123">
        <f>HYPERLINK("file:///home/hermansyah/Aplikasi%20TA/data/kelilingdaun/117_atas.png","LINK")</f>
        <v/>
      </c>
      <c r="AO123">
        <f>HYPERLINK("file:///home/hermansyah/Aplikasi%20TA/data/kelilingdaun/117_bawah.png","LINK")</f>
        <v/>
      </c>
      <c r="AP123" t="n">
        <v>0.9903552492671075</v>
      </c>
      <c r="AQ123" t="n">
        <v>0.7156504057435088</v>
      </c>
      <c r="AR123" t="n">
        <v>2.344076125742412e-07</v>
      </c>
      <c r="AS123" t="n">
        <v>5</v>
      </c>
      <c r="AT123" t="n">
        <v>5</v>
      </c>
      <c r="AU123" t="n">
        <v>0</v>
      </c>
    </row>
    <row r="124" spans="1:47">
      <c r="A124" t="n">
        <v>118</v>
      </c>
      <c r="B124" t="s">
        <v>147</v>
      </c>
      <c r="C124" t="n">
        <v>7.5</v>
      </c>
      <c r="D124" t="n">
        <v>4.3</v>
      </c>
      <c r="E124">
        <f>HYPERLINK("file:///home/hermansyah/Aplikasi%20TA/data/luasdaun/118_atas.png","LINK")</f>
        <v/>
      </c>
      <c r="F124">
        <f>HYPERLINK("file:///home/hermansyah/Aplikasi%20TA/data/luasdaun/118_bawah.png","LINK")</f>
        <v/>
      </c>
      <c r="G124" t="n">
        <v>1</v>
      </c>
      <c r="H124" t="n">
        <v>21</v>
      </c>
      <c r="I124" t="n">
        <v>8</v>
      </c>
      <c r="J124" t="n">
        <v>2</v>
      </c>
      <c r="K124" t="n">
        <v>23</v>
      </c>
      <c r="L124" t="n">
        <v>14</v>
      </c>
      <c r="M124" t="n">
        <v>0</v>
      </c>
      <c r="N124" t="n">
        <v>20</v>
      </c>
      <c r="O124" t="n">
        <v>12</v>
      </c>
      <c r="P124" t="n">
        <v>0</v>
      </c>
      <c r="Q124" t="n">
        <v>24</v>
      </c>
      <c r="R124" t="n">
        <v>12</v>
      </c>
      <c r="S124" t="n">
        <v>0</v>
      </c>
      <c r="T124" t="n">
        <v>24</v>
      </c>
      <c r="U124" t="n">
        <v>10</v>
      </c>
      <c r="V124" t="n">
        <v>1</v>
      </c>
      <c r="W124" t="n">
        <v>24</v>
      </c>
      <c r="X124" t="n">
        <v>10</v>
      </c>
      <c r="Y124" t="n">
        <v>3</v>
      </c>
      <c r="Z124" t="n">
        <v>22</v>
      </c>
      <c r="AA124" t="n">
        <v>13</v>
      </c>
      <c r="AB124" t="n">
        <v>0</v>
      </c>
      <c r="AC124" t="n">
        <v>23</v>
      </c>
      <c r="AD124" t="n">
        <v>11</v>
      </c>
      <c r="AE124" t="n">
        <v>1</v>
      </c>
      <c r="AF124" t="n">
        <v>26</v>
      </c>
      <c r="AG124" t="n">
        <v>12</v>
      </c>
      <c r="AH124" t="n">
        <v>1</v>
      </c>
      <c r="AI124" t="n">
        <v>27</v>
      </c>
      <c r="AJ124" t="n">
        <v>11</v>
      </c>
      <c r="AK124">
        <f>HYPERLINK("file:///home/hermansyah/Aplikasi%20TA/data/rgbdaun/118.png","LINK")</f>
        <v/>
      </c>
      <c r="AL124" t="n">
        <v>21</v>
      </c>
      <c r="AM124" t="n">
        <v>16</v>
      </c>
      <c r="AN124">
        <f>HYPERLINK("file:///home/hermansyah/Aplikasi%20TA/data/kelilingdaun/118_atas.png","LINK")</f>
        <v/>
      </c>
      <c r="AO124">
        <f>HYPERLINK("file:///home/hermansyah/Aplikasi%20TA/data/kelilingdaun/118_bawah.png","LINK")</f>
        <v/>
      </c>
      <c r="AP124" t="n">
        <v>0.9903552492767413</v>
      </c>
      <c r="AQ124" t="n">
        <v>0.7155509812087466</v>
      </c>
      <c r="AR124" t="n">
        <v>7.050536665672328e-07</v>
      </c>
      <c r="AS124" t="n">
        <v>5</v>
      </c>
      <c r="AT124" t="n">
        <v>5</v>
      </c>
      <c r="AU124" t="n">
        <v>5</v>
      </c>
    </row>
    <row r="125" spans="1:47">
      <c r="A125" t="n">
        <v>119</v>
      </c>
      <c r="B125" t="s">
        <v>148</v>
      </c>
      <c r="C125" t="n">
        <v>6.2</v>
      </c>
      <c r="D125" t="n">
        <v>4</v>
      </c>
      <c r="E125">
        <f>HYPERLINK("file:///home/hermansyah/Aplikasi%20TA/data/luasdaun/119_atas.png","LINK")</f>
        <v/>
      </c>
      <c r="F125">
        <f>HYPERLINK("file:///home/hermansyah/Aplikasi%20TA/data/luasdaun/119_bawah.png","LINK")</f>
        <v/>
      </c>
      <c r="G125" t="n">
        <v>5</v>
      </c>
      <c r="H125" t="n">
        <v>23</v>
      </c>
      <c r="I125" t="n">
        <v>10</v>
      </c>
      <c r="J125" t="n">
        <v>5</v>
      </c>
      <c r="K125" t="n">
        <v>29</v>
      </c>
      <c r="L125" t="n">
        <v>19</v>
      </c>
      <c r="M125" t="n">
        <v>7</v>
      </c>
      <c r="N125" t="n">
        <v>28</v>
      </c>
      <c r="O125" t="n">
        <v>19</v>
      </c>
      <c r="P125" t="n">
        <v>4</v>
      </c>
      <c r="Q125" t="n">
        <v>26</v>
      </c>
      <c r="R125" t="n">
        <v>14</v>
      </c>
      <c r="S125" t="n">
        <v>4</v>
      </c>
      <c r="T125" t="n">
        <v>24</v>
      </c>
      <c r="U125" t="n">
        <v>12</v>
      </c>
      <c r="V125" t="n">
        <v>4</v>
      </c>
      <c r="W125" t="n">
        <v>20</v>
      </c>
      <c r="X125" t="n">
        <v>9</v>
      </c>
      <c r="Y125" t="n">
        <v>7</v>
      </c>
      <c r="Z125" t="n">
        <v>24</v>
      </c>
      <c r="AA125" t="n">
        <v>13</v>
      </c>
      <c r="AB125" t="n">
        <v>4</v>
      </c>
      <c r="AC125" t="n">
        <v>26</v>
      </c>
      <c r="AD125" t="n">
        <v>14</v>
      </c>
      <c r="AE125" t="n">
        <v>2</v>
      </c>
      <c r="AF125" t="n">
        <v>24</v>
      </c>
      <c r="AG125" t="n">
        <v>12</v>
      </c>
      <c r="AH125" t="n">
        <v>5</v>
      </c>
      <c r="AI125" t="n">
        <v>30</v>
      </c>
      <c r="AJ125" t="n">
        <v>16</v>
      </c>
      <c r="AK125">
        <f>HYPERLINK("file:///home/hermansyah/Aplikasi%20TA/data/rgbdaun/119.png","LINK")</f>
        <v/>
      </c>
      <c r="AL125" t="n">
        <v>21</v>
      </c>
      <c r="AM125" t="n">
        <v>15</v>
      </c>
      <c r="AN125">
        <f>HYPERLINK("file:///home/hermansyah/Aplikasi%20TA/data/kelilingdaun/119_atas.png","LINK")</f>
        <v/>
      </c>
      <c r="AO125">
        <f>HYPERLINK("file:///home/hermansyah/Aplikasi%20TA/data/kelilingdaun/119_bawah.png","LINK")</f>
        <v/>
      </c>
      <c r="AP125" t="n">
        <v>0.9903552492688674</v>
      </c>
      <c r="AQ125" t="n">
        <v>0.7155046454634436</v>
      </c>
      <c r="AR125" t="n">
        <v>2.188286377412494e-07</v>
      </c>
      <c r="AS125" t="n">
        <v>5</v>
      </c>
      <c r="AT125" t="n">
        <v>5</v>
      </c>
      <c r="AU125" t="n">
        <v>5</v>
      </c>
    </row>
    <row r="126" spans="1:47">
      <c r="A126" t="n">
        <v>120</v>
      </c>
      <c r="B126" t="s">
        <v>149</v>
      </c>
      <c r="C126" t="n">
        <v>7</v>
      </c>
      <c r="D126" t="n">
        <v>5</v>
      </c>
      <c r="E126">
        <f>HYPERLINK("file:///home/hermansyah/Aplikasi%20TA/data/luasdaun/120_atas.png","LINK")</f>
        <v/>
      </c>
      <c r="F126">
        <f>HYPERLINK("file:///home/hermansyah/Aplikasi%20TA/data/luasdaun/120_bawah.png","LINK")</f>
        <v/>
      </c>
      <c r="G126" t="n">
        <v>4</v>
      </c>
      <c r="H126" t="n">
        <v>35</v>
      </c>
      <c r="I126" t="n">
        <v>14</v>
      </c>
      <c r="J126" t="n">
        <v>1</v>
      </c>
      <c r="K126" t="n">
        <v>24</v>
      </c>
      <c r="L126" t="n">
        <v>9</v>
      </c>
      <c r="M126" t="n">
        <v>1</v>
      </c>
      <c r="N126" t="n">
        <v>29</v>
      </c>
      <c r="O126" t="n">
        <v>10</v>
      </c>
      <c r="P126" t="n">
        <v>0</v>
      </c>
      <c r="Q126" t="n">
        <v>27</v>
      </c>
      <c r="R126" t="n">
        <v>7</v>
      </c>
      <c r="S126" t="n">
        <v>0</v>
      </c>
      <c r="T126" t="n">
        <v>31</v>
      </c>
      <c r="U126" t="n">
        <v>7</v>
      </c>
      <c r="V126" t="n">
        <v>3</v>
      </c>
      <c r="W126" t="n">
        <v>29</v>
      </c>
      <c r="X126" t="n">
        <v>6</v>
      </c>
      <c r="Y126" t="n">
        <v>4</v>
      </c>
      <c r="Z126" t="n">
        <v>27</v>
      </c>
      <c r="AA126" t="n">
        <v>12</v>
      </c>
      <c r="AB126" t="n">
        <v>3</v>
      </c>
      <c r="AC126" t="n">
        <v>33</v>
      </c>
      <c r="AD126" t="n">
        <v>14</v>
      </c>
      <c r="AE126" t="n">
        <v>0</v>
      </c>
      <c r="AF126" t="n">
        <v>33</v>
      </c>
      <c r="AG126" t="n">
        <v>9</v>
      </c>
      <c r="AH126" t="n">
        <v>0</v>
      </c>
      <c r="AI126" t="n">
        <v>41</v>
      </c>
      <c r="AJ126" t="n">
        <v>16</v>
      </c>
      <c r="AK126">
        <f>HYPERLINK("file:///home/hermansyah/Aplikasi%20TA/data/rgbdaun/120.png","LINK")</f>
        <v/>
      </c>
      <c r="AL126" t="n">
        <v>19</v>
      </c>
      <c r="AM126" t="n">
        <v>19</v>
      </c>
      <c r="AN126">
        <f>HYPERLINK("file:///home/hermansyah/Aplikasi%20TA/data/kelilingdaun/120_atas.png","LINK")</f>
        <v/>
      </c>
      <c r="AO126">
        <f>HYPERLINK("file:///home/hermansyah/Aplikasi%20TA/data/kelilingdaun/120_bawah.png","LINK")</f>
        <v/>
      </c>
      <c r="AP126" t="n">
        <v>0.990355249267077</v>
      </c>
      <c r="AQ126" t="n">
        <v>0.7738581354291285</v>
      </c>
      <c r="AR126" t="n">
        <v>5.241652173184442e-07</v>
      </c>
      <c r="AS126" t="n">
        <v>5</v>
      </c>
      <c r="AT126" t="n">
        <v>1</v>
      </c>
      <c r="AU126" t="n">
        <v>5</v>
      </c>
    </row>
    <row r="127" spans="1:47">
      <c r="A127" t="n">
        <v>121</v>
      </c>
      <c r="B127" t="s">
        <v>150</v>
      </c>
      <c r="C127" t="n">
        <v>5.9</v>
      </c>
      <c r="D127" t="n">
        <v>4.9</v>
      </c>
      <c r="E127">
        <f>HYPERLINK("file:///home/hermansyah/Aplikasi%20TA/data/luasdaun/121_atas.png","LINK")</f>
        <v/>
      </c>
      <c r="F127">
        <f>HYPERLINK("file:///home/hermansyah/Aplikasi%20TA/data/luasdaun/121_bawah.png","LINK")</f>
        <v/>
      </c>
      <c r="G127" t="n">
        <v>5</v>
      </c>
      <c r="H127" t="n">
        <v>21</v>
      </c>
      <c r="I127" t="n">
        <v>10</v>
      </c>
      <c r="J127" t="n">
        <v>4</v>
      </c>
      <c r="K127" t="n">
        <v>21</v>
      </c>
      <c r="L127" t="n">
        <v>12</v>
      </c>
      <c r="M127" t="n">
        <v>4</v>
      </c>
      <c r="N127" t="n">
        <v>25</v>
      </c>
      <c r="O127" t="n">
        <v>16</v>
      </c>
      <c r="P127" t="n">
        <v>2</v>
      </c>
      <c r="Q127" t="n">
        <v>25</v>
      </c>
      <c r="R127" t="n">
        <v>11</v>
      </c>
      <c r="S127" t="n">
        <v>5</v>
      </c>
      <c r="T127" t="n">
        <v>14</v>
      </c>
      <c r="U127" t="n">
        <v>11</v>
      </c>
      <c r="V127" t="n">
        <v>4</v>
      </c>
      <c r="W127" t="n">
        <v>18</v>
      </c>
      <c r="X127" t="n">
        <v>7</v>
      </c>
      <c r="Y127" t="n">
        <v>4</v>
      </c>
      <c r="Z127" t="n">
        <v>21</v>
      </c>
      <c r="AA127" t="n">
        <v>12</v>
      </c>
      <c r="AB127" t="n">
        <v>7</v>
      </c>
      <c r="AC127" t="n">
        <v>27</v>
      </c>
      <c r="AD127" t="n">
        <v>15</v>
      </c>
      <c r="AE127" t="n">
        <v>4</v>
      </c>
      <c r="AF127" t="n">
        <v>27</v>
      </c>
      <c r="AG127" t="n">
        <v>13</v>
      </c>
      <c r="AH127" t="n">
        <v>5</v>
      </c>
      <c r="AI127" t="n">
        <v>30</v>
      </c>
      <c r="AJ127" t="n">
        <v>16</v>
      </c>
      <c r="AK127">
        <f>HYPERLINK("file:///home/hermansyah/Aplikasi%20TA/data/rgbdaun/121.png","LINK")</f>
        <v/>
      </c>
      <c r="AL127" t="n">
        <v>19</v>
      </c>
      <c r="AM127" t="n">
        <v>17</v>
      </c>
      <c r="AN127">
        <f>HYPERLINK("file:///home/hermansyah/Aplikasi%20TA/data/kelilingdaun/121_atas.png","LINK")</f>
        <v/>
      </c>
      <c r="AO127">
        <f>HYPERLINK("file:///home/hermansyah/Aplikasi%20TA/data/kelilingdaun/121_bawah.png","LINK")</f>
        <v/>
      </c>
      <c r="AP127" t="n">
        <v>0.9903552492670733</v>
      </c>
      <c r="AQ127" t="n">
        <v>0.7155523655144035</v>
      </c>
      <c r="AR127" t="n">
        <v>3.556517479886533e-07</v>
      </c>
      <c r="AS127" t="n">
        <v>5</v>
      </c>
      <c r="AT127" t="n">
        <v>5</v>
      </c>
      <c r="AU127" t="n">
        <v>5</v>
      </c>
    </row>
    <row r="128" spans="1:47">
      <c r="A128" t="n">
        <v>122</v>
      </c>
      <c r="B128" t="s">
        <v>151</v>
      </c>
      <c r="C128" t="n">
        <v>7.9</v>
      </c>
      <c r="D128" t="n">
        <v>3.8</v>
      </c>
      <c r="E128">
        <f>HYPERLINK("file:///home/hermansyah/Aplikasi%20TA/data/luasdaun/122_atas.png","LINK")</f>
        <v/>
      </c>
      <c r="F128">
        <f>HYPERLINK("file:///home/hermansyah/Aplikasi%20TA/data/luasdaun/122_bawah.png","LINK")</f>
        <v/>
      </c>
      <c r="G128" t="n">
        <v>2</v>
      </c>
      <c r="H128" t="n">
        <v>22</v>
      </c>
      <c r="I128" t="n">
        <v>9</v>
      </c>
      <c r="J128" t="n">
        <v>3</v>
      </c>
      <c r="K128" t="n">
        <v>23</v>
      </c>
      <c r="L128" t="n">
        <v>11</v>
      </c>
      <c r="M128" t="n">
        <v>3</v>
      </c>
      <c r="N128" t="n">
        <v>27</v>
      </c>
      <c r="O128" t="n">
        <v>15</v>
      </c>
      <c r="P128" t="n">
        <v>1</v>
      </c>
      <c r="Q128" t="n">
        <v>27</v>
      </c>
      <c r="R128" t="n">
        <v>11</v>
      </c>
      <c r="S128" t="n">
        <v>0</v>
      </c>
      <c r="T128" t="n">
        <v>21</v>
      </c>
      <c r="U128" t="n">
        <v>7</v>
      </c>
      <c r="V128" t="n">
        <v>3</v>
      </c>
      <c r="W128" t="n">
        <v>24</v>
      </c>
      <c r="X128" t="n">
        <v>9</v>
      </c>
      <c r="Y128" t="n">
        <v>4</v>
      </c>
      <c r="Z128" t="n">
        <v>24</v>
      </c>
      <c r="AA128" t="n">
        <v>12</v>
      </c>
      <c r="AB128" t="n">
        <v>0</v>
      </c>
      <c r="AC128" t="n">
        <v>24</v>
      </c>
      <c r="AD128" t="n">
        <v>10</v>
      </c>
      <c r="AE128" t="n">
        <v>0</v>
      </c>
      <c r="AF128" t="n">
        <v>27</v>
      </c>
      <c r="AG128" t="n">
        <v>8</v>
      </c>
      <c r="AH128" t="n">
        <v>3</v>
      </c>
      <c r="AI128" t="n">
        <v>31</v>
      </c>
      <c r="AJ128" t="n">
        <v>12</v>
      </c>
      <c r="AK128">
        <f>HYPERLINK("file:///home/hermansyah/Aplikasi%20TA/data/rgbdaun/122.png","LINK")</f>
        <v/>
      </c>
      <c r="AL128" t="n">
        <v>25</v>
      </c>
      <c r="AM128" t="n">
        <v>15</v>
      </c>
      <c r="AN128">
        <f>HYPERLINK("file:///home/hermansyah/Aplikasi%20TA/data/kelilingdaun/122_atas.png","LINK")</f>
        <v/>
      </c>
      <c r="AO128">
        <f>HYPERLINK("file:///home/hermansyah/Aplikasi%20TA/data/kelilingdaun/122_bawah.png","LINK")</f>
        <v/>
      </c>
      <c r="AP128" t="n">
        <v>0.9903552592067134</v>
      </c>
      <c r="AQ128" t="n">
        <v>0.7156065285806333</v>
      </c>
      <c r="AR128" t="n">
        <v>2.261674489995036e-07</v>
      </c>
      <c r="AS128" t="n">
        <v>5</v>
      </c>
      <c r="AT128" t="n">
        <v>5</v>
      </c>
      <c r="AU128" t="n">
        <v>0</v>
      </c>
    </row>
    <row r="129" spans="1:47">
      <c r="A129" t="n">
        <v>123</v>
      </c>
      <c r="B129" t="s">
        <v>152</v>
      </c>
      <c r="C129" t="n">
        <v>6.800000000000001</v>
      </c>
      <c r="D129" t="n">
        <v>4.3</v>
      </c>
      <c r="E129">
        <f>HYPERLINK("file:///home/hermansyah/Aplikasi%20TA/data/luasdaun/123_atas.png","LINK")</f>
        <v/>
      </c>
      <c r="F129">
        <f>HYPERLINK("file:///home/hermansyah/Aplikasi%20TA/data/luasdaun/123_bawah.png","LINK")</f>
        <v/>
      </c>
      <c r="G129" t="n">
        <v>1</v>
      </c>
      <c r="H129" t="n">
        <v>30</v>
      </c>
      <c r="I129" t="n">
        <v>5</v>
      </c>
      <c r="J129" t="n">
        <v>6</v>
      </c>
      <c r="K129" t="n">
        <v>33</v>
      </c>
      <c r="L129" t="n">
        <v>17</v>
      </c>
      <c r="M129" t="n">
        <v>4</v>
      </c>
      <c r="N129" t="n">
        <v>25</v>
      </c>
      <c r="O129" t="n">
        <v>10</v>
      </c>
      <c r="P129" t="n">
        <v>2</v>
      </c>
      <c r="Q129" t="n">
        <v>26</v>
      </c>
      <c r="R129" t="n">
        <v>8</v>
      </c>
      <c r="S129" t="n">
        <v>0</v>
      </c>
      <c r="T129" t="n">
        <v>27</v>
      </c>
      <c r="U129" t="n">
        <v>7</v>
      </c>
      <c r="V129" t="n">
        <v>1</v>
      </c>
      <c r="W129" t="n">
        <v>24</v>
      </c>
      <c r="X129" t="n">
        <v>2</v>
      </c>
      <c r="Y129" t="n">
        <v>4</v>
      </c>
      <c r="Z129" t="n">
        <v>25</v>
      </c>
      <c r="AA129" t="n">
        <v>10</v>
      </c>
      <c r="AB129" t="n">
        <v>2</v>
      </c>
      <c r="AC129" t="n">
        <v>21</v>
      </c>
      <c r="AD129" t="n">
        <v>6</v>
      </c>
      <c r="AE129" t="n">
        <v>0</v>
      </c>
      <c r="AF129" t="n">
        <v>23</v>
      </c>
      <c r="AG129" t="n">
        <v>5</v>
      </c>
      <c r="AH129" t="n">
        <v>3</v>
      </c>
      <c r="AI129" t="n">
        <v>35</v>
      </c>
      <c r="AJ129" t="n">
        <v>11</v>
      </c>
      <c r="AK129">
        <f>HYPERLINK("file:///home/hermansyah/Aplikasi%20TA/data/rgbdaun/123.png","LINK")</f>
        <v/>
      </c>
      <c r="AL129" t="n">
        <v>21</v>
      </c>
      <c r="AM129" t="n">
        <v>16</v>
      </c>
      <c r="AN129">
        <f>HYPERLINK("file:///home/hermansyah/Aplikasi%20TA/data/kelilingdaun/123_atas.png","LINK")</f>
        <v/>
      </c>
      <c r="AO129">
        <f>HYPERLINK("file:///home/hermansyah/Aplikasi%20TA/data/kelilingdaun/123_bawah.png","LINK")</f>
        <v/>
      </c>
      <c r="AP129" t="n">
        <v>0.9903552492677495</v>
      </c>
      <c r="AQ129" t="n">
        <v>0.7155509812087466</v>
      </c>
      <c r="AR129" t="n">
        <v>4.412230052483841e-07</v>
      </c>
      <c r="AS129" t="n">
        <v>5</v>
      </c>
      <c r="AT129" t="n">
        <v>5</v>
      </c>
      <c r="AU129" t="n">
        <v>5</v>
      </c>
    </row>
    <row r="130" spans="1:47">
      <c r="A130" t="n">
        <v>124</v>
      </c>
      <c r="B130" t="s">
        <v>153</v>
      </c>
      <c r="C130" t="n">
        <v>7.100000000000001</v>
      </c>
      <c r="D130" t="n">
        <v>4.800000000000001</v>
      </c>
      <c r="E130">
        <f>HYPERLINK("file:///home/hermansyah/Aplikasi%20TA/data/luasdaun/124_atas.png","LINK")</f>
        <v/>
      </c>
      <c r="F130">
        <f>HYPERLINK("file:///home/hermansyah/Aplikasi%20TA/data/luasdaun/124_bawah.png","LINK")</f>
        <v/>
      </c>
      <c r="G130" t="n">
        <v>0</v>
      </c>
      <c r="H130" t="n">
        <v>19</v>
      </c>
      <c r="I130" t="n">
        <v>0</v>
      </c>
      <c r="J130" t="n">
        <v>6</v>
      </c>
      <c r="K130" t="n">
        <v>38</v>
      </c>
      <c r="L130" t="n">
        <v>21</v>
      </c>
      <c r="M130" t="n">
        <v>0</v>
      </c>
      <c r="N130" t="n">
        <v>20</v>
      </c>
      <c r="O130" t="n">
        <v>5</v>
      </c>
      <c r="P130" t="n">
        <v>1</v>
      </c>
      <c r="Q130" t="n">
        <v>24</v>
      </c>
      <c r="R130" t="n">
        <v>9</v>
      </c>
      <c r="S130" t="n">
        <v>1</v>
      </c>
      <c r="T130" t="n">
        <v>26</v>
      </c>
      <c r="U130" t="n">
        <v>6</v>
      </c>
      <c r="V130" t="n">
        <v>0</v>
      </c>
      <c r="W130" t="n">
        <v>19</v>
      </c>
      <c r="X130" t="n">
        <v>0</v>
      </c>
      <c r="Y130" t="n">
        <v>4</v>
      </c>
      <c r="Z130" t="n">
        <v>25</v>
      </c>
      <c r="AA130" t="n">
        <v>10</v>
      </c>
      <c r="AB130" t="n">
        <v>0</v>
      </c>
      <c r="AC130" t="n">
        <v>26</v>
      </c>
      <c r="AD130" t="n">
        <v>8</v>
      </c>
      <c r="AE130" t="n">
        <v>7</v>
      </c>
      <c r="AF130" t="n">
        <v>19</v>
      </c>
      <c r="AG130" t="n">
        <v>23</v>
      </c>
      <c r="AH130" t="n">
        <v>4</v>
      </c>
      <c r="AI130" t="n">
        <v>29</v>
      </c>
      <c r="AJ130" t="n">
        <v>9</v>
      </c>
      <c r="AK130">
        <f>HYPERLINK("file:///home/hermansyah/Aplikasi%20TA/data/rgbdaun/124.png","LINK")</f>
        <v/>
      </c>
      <c r="AL130" t="n">
        <v>18</v>
      </c>
      <c r="AM130" t="n">
        <v>20</v>
      </c>
      <c r="AN130">
        <f>HYPERLINK("file:///home/hermansyah/Aplikasi%20TA/data/kelilingdaun/124_atas.png","LINK")</f>
        <v/>
      </c>
      <c r="AO130">
        <f>HYPERLINK("file:///home/hermansyah/Aplikasi%20TA/data/kelilingdaun/124_bawah.png","LINK")</f>
        <v/>
      </c>
      <c r="AP130" t="n">
        <v>0.9903552492670853</v>
      </c>
      <c r="AQ130" t="n">
        <v>0.9392518509029756</v>
      </c>
      <c r="AR130" t="n">
        <v>2.691082999231849e-06</v>
      </c>
      <c r="AS130" t="n">
        <v>5</v>
      </c>
      <c r="AT130" t="n">
        <v>4</v>
      </c>
      <c r="AU130" t="n">
        <v>5</v>
      </c>
    </row>
    <row r="131" spans="1:47">
      <c r="A131" t="n">
        <v>125</v>
      </c>
      <c r="B131" t="s">
        <v>154</v>
      </c>
      <c r="C131" t="n">
        <v>8</v>
      </c>
      <c r="D131" t="n">
        <v>4.2</v>
      </c>
      <c r="E131">
        <f>HYPERLINK("file:///home/hermansyah/Aplikasi%20TA/data/luasdaun/125_atas.png","LINK")</f>
        <v/>
      </c>
      <c r="F131">
        <f>HYPERLINK("file:///home/hermansyah/Aplikasi%20TA/data/luasdaun/125_bawah.png","LINK")</f>
        <v/>
      </c>
      <c r="G131" t="n">
        <v>3</v>
      </c>
      <c r="H131" t="n">
        <v>23</v>
      </c>
      <c r="I131" t="n">
        <v>4</v>
      </c>
      <c r="J131" t="n">
        <v>5</v>
      </c>
      <c r="K131" t="n">
        <v>24</v>
      </c>
      <c r="L131" t="n">
        <v>9</v>
      </c>
      <c r="M131" t="n">
        <v>3</v>
      </c>
      <c r="N131" t="n">
        <v>29</v>
      </c>
      <c r="O131" t="n">
        <v>13</v>
      </c>
      <c r="P131" t="n">
        <v>2</v>
      </c>
      <c r="Q131" t="n">
        <v>28</v>
      </c>
      <c r="R131" t="n">
        <v>10</v>
      </c>
      <c r="S131" t="n">
        <v>4</v>
      </c>
      <c r="T131" t="n">
        <v>32</v>
      </c>
      <c r="U131" t="n">
        <v>12</v>
      </c>
      <c r="V131" t="n">
        <v>2</v>
      </c>
      <c r="W131" t="n">
        <v>22</v>
      </c>
      <c r="X131" t="n">
        <v>3</v>
      </c>
      <c r="Y131" t="n">
        <v>4</v>
      </c>
      <c r="Z131" t="n">
        <v>27</v>
      </c>
      <c r="AA131" t="n">
        <v>12</v>
      </c>
      <c r="AB131" t="n">
        <v>1</v>
      </c>
      <c r="AC131" t="n">
        <v>27</v>
      </c>
      <c r="AD131" t="n">
        <v>11</v>
      </c>
      <c r="AE131" t="n">
        <v>4</v>
      </c>
      <c r="AF131" t="n">
        <v>35</v>
      </c>
      <c r="AG131" t="n">
        <v>14</v>
      </c>
      <c r="AH131" t="n">
        <v>4</v>
      </c>
      <c r="AI131" t="n">
        <v>25</v>
      </c>
      <c r="AJ131" t="n">
        <v>10</v>
      </c>
      <c r="AK131">
        <f>HYPERLINK("file:///home/hermansyah/Aplikasi%20TA/data/rgbdaun/125.png","LINK")</f>
        <v/>
      </c>
      <c r="AL131" t="n">
        <v>21</v>
      </c>
      <c r="AM131" t="n">
        <v>15</v>
      </c>
      <c r="AN131">
        <f>HYPERLINK("file:///home/hermansyah/Aplikasi%20TA/data/kelilingdaun/125_atas.png","LINK")</f>
        <v/>
      </c>
      <c r="AO131">
        <f>HYPERLINK("file:///home/hermansyah/Aplikasi%20TA/data/kelilingdaun/125_bawah.png","LINK")</f>
        <v/>
      </c>
      <c r="AP131" t="n">
        <v>0.9903552494571803</v>
      </c>
      <c r="AQ131" t="n">
        <v>0.7155046454634436</v>
      </c>
      <c r="AR131" t="n">
        <v>3.890705693054441e-07</v>
      </c>
      <c r="AS131" t="n">
        <v>5</v>
      </c>
      <c r="AT131" t="n">
        <v>5</v>
      </c>
      <c r="AU131" t="n">
        <v>5</v>
      </c>
    </row>
    <row r="132" spans="1:47">
      <c r="A132" t="n">
        <v>126</v>
      </c>
      <c r="B132" t="s">
        <v>155</v>
      </c>
      <c r="C132" t="n">
        <v>4.600000000000001</v>
      </c>
      <c r="D132" t="n">
        <v>3.1</v>
      </c>
      <c r="E132">
        <f>HYPERLINK("file:///home/hermansyah/Aplikasi%20TA/data/luasdaun/126_atas.png","LINK")</f>
        <v/>
      </c>
      <c r="F132">
        <f>HYPERLINK("file:///home/hermansyah/Aplikasi%20TA/data/luasdaun/126_bawah.png","LINK")</f>
        <v/>
      </c>
      <c r="G132" t="n">
        <v>4</v>
      </c>
      <c r="H132" t="n">
        <v>24</v>
      </c>
      <c r="I132" t="n">
        <v>5</v>
      </c>
      <c r="J132" t="n">
        <v>4</v>
      </c>
      <c r="K132" t="n">
        <v>23</v>
      </c>
      <c r="L132" t="n">
        <v>8</v>
      </c>
      <c r="M132" t="n">
        <v>6</v>
      </c>
      <c r="N132" t="n">
        <v>23</v>
      </c>
      <c r="O132" t="n">
        <v>10</v>
      </c>
      <c r="P132" t="n">
        <v>5</v>
      </c>
      <c r="Q132" t="n">
        <v>16</v>
      </c>
      <c r="R132" t="n">
        <v>8</v>
      </c>
      <c r="S132" t="n">
        <v>5</v>
      </c>
      <c r="T132" t="n">
        <v>27</v>
      </c>
      <c r="U132" t="n">
        <v>8</v>
      </c>
      <c r="V132" t="n">
        <v>5</v>
      </c>
      <c r="W132" t="n">
        <v>24</v>
      </c>
      <c r="X132" t="n">
        <v>5</v>
      </c>
      <c r="Y132" t="n">
        <v>4</v>
      </c>
      <c r="Z132" t="n">
        <v>21</v>
      </c>
      <c r="AA132" t="n">
        <v>8</v>
      </c>
      <c r="AB132" t="n">
        <v>6</v>
      </c>
      <c r="AC132" t="n">
        <v>25</v>
      </c>
      <c r="AD132" t="n">
        <v>10</v>
      </c>
      <c r="AE132" t="n">
        <v>4</v>
      </c>
      <c r="AF132" t="n">
        <v>25</v>
      </c>
      <c r="AG132" t="n">
        <v>10</v>
      </c>
      <c r="AH132" t="n">
        <v>113</v>
      </c>
      <c r="AI132" t="n">
        <v>128</v>
      </c>
      <c r="AJ132" t="n">
        <v>114</v>
      </c>
      <c r="AK132">
        <f>HYPERLINK("file:///home/hermansyah/Aplikasi%20TA/data/rgbdaun/126.png","LINK")</f>
        <v/>
      </c>
      <c r="AL132" t="n">
        <v>18</v>
      </c>
      <c r="AM132" t="n">
        <v>14</v>
      </c>
      <c r="AN132">
        <f>HYPERLINK("file:///home/hermansyah/Aplikasi%20TA/data/kelilingdaun/126_atas.png","LINK")</f>
        <v/>
      </c>
      <c r="AO132">
        <f>HYPERLINK("file:///home/hermansyah/Aplikasi%20TA/data/kelilingdaun/126_bawah.png","LINK")</f>
        <v/>
      </c>
      <c r="AP132" t="n">
        <v>0.9903552497677475</v>
      </c>
      <c r="AQ132" t="n">
        <v>0.7152776024519938</v>
      </c>
      <c r="AR132" t="n">
        <v>0.036520686587348</v>
      </c>
      <c r="AS132" t="n">
        <v>4</v>
      </c>
      <c r="AT132" t="n">
        <v>4</v>
      </c>
      <c r="AU132" t="n">
        <v>5</v>
      </c>
    </row>
    <row r="133" spans="1:47">
      <c r="A133" t="n">
        <v>127</v>
      </c>
      <c r="B133" t="s">
        <v>156</v>
      </c>
      <c r="C133" t="n">
        <v>6.7</v>
      </c>
      <c r="D133" t="n">
        <v>4.100000000000001</v>
      </c>
      <c r="E133">
        <f>HYPERLINK("file:///home/hermansyah/Aplikasi%20TA/data/luasdaun/127_atas.png","LINK")</f>
        <v/>
      </c>
      <c r="F133">
        <f>HYPERLINK("file:///home/hermansyah/Aplikasi%20TA/data/luasdaun/127_bawah.png","LINK")</f>
        <v/>
      </c>
      <c r="G133" t="n">
        <v>0</v>
      </c>
      <c r="H133" t="n">
        <v>26</v>
      </c>
      <c r="I133" t="n">
        <v>10</v>
      </c>
      <c r="J133" t="n">
        <v>4</v>
      </c>
      <c r="K133" t="n">
        <v>25</v>
      </c>
      <c r="L133" t="n">
        <v>23</v>
      </c>
      <c r="M133" t="n">
        <v>4</v>
      </c>
      <c r="N133" t="n">
        <v>30</v>
      </c>
      <c r="O133" t="n">
        <v>17</v>
      </c>
      <c r="P133" t="n">
        <v>0</v>
      </c>
      <c r="Q133" t="n">
        <v>27</v>
      </c>
      <c r="R133" t="n">
        <v>14</v>
      </c>
      <c r="S133" t="n">
        <v>3</v>
      </c>
      <c r="T133" t="n">
        <v>29</v>
      </c>
      <c r="U133" t="n">
        <v>15</v>
      </c>
      <c r="V133" t="n">
        <v>2</v>
      </c>
      <c r="W133" t="n">
        <v>28</v>
      </c>
      <c r="X133" t="n">
        <v>12</v>
      </c>
      <c r="Y133" t="n">
        <v>6</v>
      </c>
      <c r="Z133" t="n">
        <v>25</v>
      </c>
      <c r="AA133" t="n">
        <v>16</v>
      </c>
      <c r="AB133" t="n">
        <v>0</v>
      </c>
      <c r="AC133" t="n">
        <v>21</v>
      </c>
      <c r="AD133" t="n">
        <v>16</v>
      </c>
      <c r="AE133" t="n">
        <v>0</v>
      </c>
      <c r="AF133" t="n">
        <v>30</v>
      </c>
      <c r="AG133" t="n">
        <v>15</v>
      </c>
      <c r="AH133" t="n">
        <v>2</v>
      </c>
      <c r="AI133" t="n">
        <v>31</v>
      </c>
      <c r="AJ133" t="n">
        <v>15</v>
      </c>
      <c r="AK133">
        <f>HYPERLINK("file:///home/hermansyah/Aplikasi%20TA/data/rgbdaun/127.png","LINK")</f>
        <v/>
      </c>
      <c r="AL133" t="n">
        <v>20</v>
      </c>
      <c r="AM133" t="n">
        <v>16</v>
      </c>
      <c r="AN133">
        <f>HYPERLINK("file:///home/hermansyah/Aplikasi%20TA/data/kelilingdaun/127_atas.png","LINK")</f>
        <v/>
      </c>
      <c r="AO133">
        <f>HYPERLINK("file:///home/hermansyah/Aplikasi%20TA/data/kelilingdaun/127_bawah.png","LINK")</f>
        <v/>
      </c>
      <c r="AP133" t="n">
        <v>0.9903552492711517</v>
      </c>
      <c r="AQ133" t="n">
        <v>0.7155216681100861</v>
      </c>
      <c r="AR133" t="n">
        <v>1.888978375796739e-07</v>
      </c>
      <c r="AS133" t="n">
        <v>5</v>
      </c>
      <c r="AT133" t="n">
        <v>5</v>
      </c>
      <c r="AU133" t="n">
        <v>5</v>
      </c>
    </row>
    <row r="134" spans="1:47">
      <c r="A134" t="n">
        <v>128</v>
      </c>
      <c r="B134" t="s">
        <v>157</v>
      </c>
      <c r="C134" t="n">
        <v>7.300000000000001</v>
      </c>
      <c r="D134" t="n">
        <v>6.2</v>
      </c>
      <c r="E134">
        <f>HYPERLINK("file:///home/hermansyah/Aplikasi%20TA/data/luasdaun/128_atas.png","LINK")</f>
        <v/>
      </c>
      <c r="F134">
        <f>HYPERLINK("file:///home/hermansyah/Aplikasi%20TA/data/luasdaun/128_bawah.png","LINK")</f>
        <v/>
      </c>
      <c r="G134" t="n">
        <v>0</v>
      </c>
      <c r="H134" t="n">
        <v>29</v>
      </c>
      <c r="I134" t="n">
        <v>13</v>
      </c>
      <c r="J134" t="n">
        <v>0</v>
      </c>
      <c r="K134" t="n">
        <v>30</v>
      </c>
      <c r="L134" t="n">
        <v>15</v>
      </c>
      <c r="M134" t="n">
        <v>1</v>
      </c>
      <c r="N134" t="n">
        <v>37</v>
      </c>
      <c r="O134" t="n">
        <v>21</v>
      </c>
      <c r="P134" t="n">
        <v>0</v>
      </c>
      <c r="Q134" t="n">
        <v>30</v>
      </c>
      <c r="R134" t="n">
        <v>13</v>
      </c>
      <c r="S134" t="n">
        <v>0</v>
      </c>
      <c r="T134" t="n">
        <v>27</v>
      </c>
      <c r="U134" t="n">
        <v>11</v>
      </c>
      <c r="V134" t="n">
        <v>0</v>
      </c>
      <c r="W134" t="n">
        <v>32</v>
      </c>
      <c r="X134" t="n">
        <v>15</v>
      </c>
      <c r="Y134" t="n">
        <v>0</v>
      </c>
      <c r="Z134" t="n">
        <v>29</v>
      </c>
      <c r="AA134" t="n">
        <v>14</v>
      </c>
      <c r="AB134" t="n">
        <v>0</v>
      </c>
      <c r="AC134" t="n">
        <v>32</v>
      </c>
      <c r="AD134" t="n">
        <v>15</v>
      </c>
      <c r="AE134" t="n">
        <v>0</v>
      </c>
      <c r="AF134" t="n">
        <v>32</v>
      </c>
      <c r="AG134" t="n">
        <v>15</v>
      </c>
      <c r="AH134" t="n">
        <v>1</v>
      </c>
      <c r="AI134" t="n">
        <v>33</v>
      </c>
      <c r="AJ134" t="n">
        <v>14</v>
      </c>
      <c r="AK134">
        <f>HYPERLINK("file:///home/hermansyah/Aplikasi%20TA/data/rgbdaun/128.png","LINK")</f>
        <v/>
      </c>
      <c r="AL134" t="n">
        <v>21</v>
      </c>
      <c r="AM134" t="n">
        <v>17</v>
      </c>
      <c r="AN134">
        <f>HYPERLINK("file:///home/hermansyah/Aplikasi%20TA/data/kelilingdaun/128_atas.png","LINK")</f>
        <v/>
      </c>
      <c r="AO134">
        <f>HYPERLINK("file:///home/hermansyah/Aplikasi%20TA/data/kelilingdaun/128_bawah.png","LINK")</f>
        <v/>
      </c>
      <c r="AP134" t="n">
        <v>0.9903552492670767</v>
      </c>
      <c r="AQ134" t="n">
        <v>0.7155874160751686</v>
      </c>
      <c r="AR134" t="n">
        <v>1.067887589436174e-07</v>
      </c>
      <c r="AS134" t="n">
        <v>5</v>
      </c>
      <c r="AT134" t="n">
        <v>5</v>
      </c>
      <c r="AU134" t="n">
        <v>0</v>
      </c>
    </row>
    <row r="135" spans="1:47">
      <c r="A135" t="n">
        <v>129</v>
      </c>
      <c r="B135" t="s">
        <v>158</v>
      </c>
      <c r="C135" t="n">
        <v>6.4</v>
      </c>
      <c r="D135" t="n">
        <v>4.100000000000001</v>
      </c>
      <c r="E135">
        <f>HYPERLINK("file:///home/hermansyah/Aplikasi%20TA/data/luasdaun/129_atas.png","LINK")</f>
        <v/>
      </c>
      <c r="F135">
        <f>HYPERLINK("file:///home/hermansyah/Aplikasi%20TA/data/luasdaun/129_bawah.png","LINK")</f>
        <v/>
      </c>
      <c r="G135" t="n">
        <v>0</v>
      </c>
      <c r="H135" t="n">
        <v>28</v>
      </c>
      <c r="I135" t="n">
        <v>9</v>
      </c>
      <c r="J135" t="n">
        <v>1</v>
      </c>
      <c r="K135" t="n">
        <v>27</v>
      </c>
      <c r="L135" t="n">
        <v>13</v>
      </c>
      <c r="M135" t="n">
        <v>0</v>
      </c>
      <c r="N135" t="n">
        <v>24</v>
      </c>
      <c r="O135" t="n">
        <v>10</v>
      </c>
      <c r="P135" t="n">
        <v>2</v>
      </c>
      <c r="Q135" t="n">
        <v>28</v>
      </c>
      <c r="R135" t="n">
        <v>12</v>
      </c>
      <c r="S135" t="n">
        <v>2</v>
      </c>
      <c r="T135" t="n">
        <v>28</v>
      </c>
      <c r="U135" t="n">
        <v>10</v>
      </c>
      <c r="V135" t="n">
        <v>1</v>
      </c>
      <c r="W135" t="n">
        <v>28</v>
      </c>
      <c r="X135" t="n">
        <v>8</v>
      </c>
      <c r="Y135" t="n">
        <v>3</v>
      </c>
      <c r="Z135" t="n">
        <v>28</v>
      </c>
      <c r="AA135" t="n">
        <v>14</v>
      </c>
      <c r="AB135" t="n">
        <v>0</v>
      </c>
      <c r="AC135" t="n">
        <v>30</v>
      </c>
      <c r="AD135" t="n">
        <v>11</v>
      </c>
      <c r="AE135" t="n">
        <v>1</v>
      </c>
      <c r="AF135" t="n">
        <v>29</v>
      </c>
      <c r="AG135" t="n">
        <v>10</v>
      </c>
      <c r="AH135" t="n">
        <v>2</v>
      </c>
      <c r="AI135" t="n">
        <v>29</v>
      </c>
      <c r="AJ135" t="n">
        <v>9</v>
      </c>
      <c r="AK135">
        <f>HYPERLINK("file:///home/hermansyah/Aplikasi%20TA/data/rgbdaun/129.png","LINK")</f>
        <v/>
      </c>
      <c r="AL135" t="n">
        <v>22</v>
      </c>
      <c r="AM135" t="n">
        <v>18</v>
      </c>
      <c r="AN135">
        <f>HYPERLINK("file:///home/hermansyah/Aplikasi%20TA/data/kelilingdaun/129_atas.png","LINK")</f>
        <v/>
      </c>
      <c r="AO135">
        <f>HYPERLINK("file:///home/hermansyah/Aplikasi%20TA/data/kelilingdaun/129_bawah.png","LINK")</f>
        <v/>
      </c>
      <c r="AP135" t="n">
        <v>0.9903552492683645</v>
      </c>
      <c r="AQ135" t="n">
        <v>0.7156315286136862</v>
      </c>
      <c r="AR135" t="n">
        <v>5.545376201027327e-07</v>
      </c>
      <c r="AS135" t="n">
        <v>5</v>
      </c>
      <c r="AT135" t="n">
        <v>5</v>
      </c>
      <c r="AU135" t="n">
        <v>5</v>
      </c>
    </row>
    <row r="136" spans="1:47">
      <c r="A136" t="n">
        <v>130</v>
      </c>
      <c r="B136" t="s">
        <v>159</v>
      </c>
      <c r="C136" t="n">
        <v>7.9</v>
      </c>
      <c r="D136" t="n">
        <v>5.100000000000001</v>
      </c>
      <c r="E136">
        <f>HYPERLINK("file:///home/hermansyah/Aplikasi%20TA/data/luasdaun/130_atas.png","LINK")</f>
        <v/>
      </c>
      <c r="F136">
        <f>HYPERLINK("file:///home/hermansyah/Aplikasi%20TA/data/luasdaun/130_bawah.png","LINK")</f>
        <v/>
      </c>
      <c r="G136" t="n">
        <v>1</v>
      </c>
      <c r="H136" t="n">
        <v>29</v>
      </c>
      <c r="I136" t="n">
        <v>10</v>
      </c>
      <c r="J136" t="n">
        <v>1</v>
      </c>
      <c r="K136" t="n">
        <v>38</v>
      </c>
      <c r="L136" t="n">
        <v>34</v>
      </c>
      <c r="M136" t="n">
        <v>0</v>
      </c>
      <c r="N136" t="n">
        <v>24</v>
      </c>
      <c r="O136" t="n">
        <v>11</v>
      </c>
      <c r="P136" t="n">
        <v>1</v>
      </c>
      <c r="Q136" t="n">
        <v>30</v>
      </c>
      <c r="R136" t="n">
        <v>15</v>
      </c>
      <c r="S136" t="n">
        <v>0</v>
      </c>
      <c r="T136" t="n">
        <v>26</v>
      </c>
      <c r="U136" t="n">
        <v>10</v>
      </c>
      <c r="V136" t="n">
        <v>1</v>
      </c>
      <c r="W136" t="n">
        <v>24</v>
      </c>
      <c r="X136" t="n">
        <v>10</v>
      </c>
      <c r="Y136" t="n">
        <v>2</v>
      </c>
      <c r="Z136" t="n">
        <v>28</v>
      </c>
      <c r="AA136" t="n">
        <v>15</v>
      </c>
      <c r="AB136" t="n">
        <v>0</v>
      </c>
      <c r="AC136" t="n">
        <v>27</v>
      </c>
      <c r="AD136" t="n">
        <v>14</v>
      </c>
      <c r="AE136" t="n">
        <v>0</v>
      </c>
      <c r="AF136" t="n">
        <v>34</v>
      </c>
      <c r="AG136" t="n">
        <v>14</v>
      </c>
      <c r="AH136" t="n">
        <v>0</v>
      </c>
      <c r="AI136" t="n">
        <v>37</v>
      </c>
      <c r="AJ136" t="n">
        <v>12</v>
      </c>
      <c r="AK136">
        <f>HYPERLINK("file:///home/hermansyah/Aplikasi%20TA/data/rgbdaun/130.png","LINK")</f>
        <v/>
      </c>
      <c r="AL136" t="n">
        <v>20</v>
      </c>
      <c r="AM136" t="n">
        <v>14</v>
      </c>
      <c r="AN136">
        <f>HYPERLINK("file:///home/hermansyah/Aplikasi%20TA/data/kelilingdaun/130_atas.png","LINK")</f>
        <v/>
      </c>
      <c r="AO136">
        <f>HYPERLINK("file:///home/hermansyah/Aplikasi%20TA/data/kelilingdaun/130_bawah.png","LINK")</f>
        <v/>
      </c>
      <c r="AP136" t="n">
        <v>0.9903552492670842</v>
      </c>
      <c r="AQ136" t="n">
        <v>0.7153982986619661</v>
      </c>
      <c r="AR136" t="n">
        <v>3.649887139080364e-07</v>
      </c>
      <c r="AS136" t="n">
        <v>5</v>
      </c>
      <c r="AT136" t="n">
        <v>4</v>
      </c>
      <c r="AU136" t="n">
        <v>5</v>
      </c>
    </row>
    <row r="137" spans="1:47">
      <c r="A137" t="n">
        <v>131</v>
      </c>
      <c r="B137" t="s">
        <v>160</v>
      </c>
      <c r="C137" t="n">
        <v>6.9</v>
      </c>
      <c r="D137" t="n">
        <v>7.9</v>
      </c>
      <c r="E137">
        <f>HYPERLINK("file:///home/hermansyah/Aplikasi%20TA/data/luasdaun/131_atas.png","LINK")</f>
        <v/>
      </c>
      <c r="F137">
        <f>HYPERLINK("file:///home/hermansyah/Aplikasi%20TA/data/luasdaun/131_bawah.png","LINK")</f>
        <v/>
      </c>
      <c r="G137" t="n">
        <v>0</v>
      </c>
      <c r="H137" t="n">
        <v>19</v>
      </c>
      <c r="I137" t="n">
        <v>0</v>
      </c>
      <c r="J137" t="n">
        <v>0</v>
      </c>
      <c r="K137" t="n">
        <v>21</v>
      </c>
      <c r="L137" t="n">
        <v>7</v>
      </c>
      <c r="M137" t="n">
        <v>0</v>
      </c>
      <c r="N137" t="n">
        <v>20</v>
      </c>
      <c r="O137" t="n">
        <v>6</v>
      </c>
      <c r="P137" t="n">
        <v>0</v>
      </c>
      <c r="Q137" t="n">
        <v>22</v>
      </c>
      <c r="R137" t="n">
        <v>7</v>
      </c>
      <c r="S137" t="n">
        <v>0</v>
      </c>
      <c r="T137" t="n">
        <v>18</v>
      </c>
      <c r="U137" t="n">
        <v>3</v>
      </c>
      <c r="V137" t="n">
        <v>0</v>
      </c>
      <c r="W137" t="n">
        <v>16</v>
      </c>
      <c r="X137" t="n">
        <v>0</v>
      </c>
      <c r="Y137" t="n">
        <v>0</v>
      </c>
      <c r="Z137" t="n">
        <v>22</v>
      </c>
      <c r="AA137" t="n">
        <v>7</v>
      </c>
      <c r="AB137" t="n">
        <v>0</v>
      </c>
      <c r="AC137" t="n">
        <v>21</v>
      </c>
      <c r="AD137" t="n">
        <v>7</v>
      </c>
      <c r="AE137" t="n">
        <v>0</v>
      </c>
      <c r="AF137" t="n">
        <v>22</v>
      </c>
      <c r="AG137" t="n">
        <v>4</v>
      </c>
      <c r="AH137" t="n">
        <v>77</v>
      </c>
      <c r="AI137" t="n">
        <v>91</v>
      </c>
      <c r="AJ137" t="n">
        <v>80</v>
      </c>
      <c r="AK137">
        <f>HYPERLINK("file:///home/hermansyah/Aplikasi%20TA/data/rgbdaun/131.png","LINK")</f>
        <v/>
      </c>
      <c r="AL137" t="n">
        <v>16</v>
      </c>
      <c r="AM137" t="n">
        <v>14</v>
      </c>
      <c r="AN137">
        <f>HYPERLINK("file:///home/hermansyah/Aplikasi%20TA/data/kelilingdaun/131_atas.png","LINK")</f>
        <v/>
      </c>
      <c r="AO137">
        <f>HYPERLINK("file:///home/hermansyah/Aplikasi%20TA/data/kelilingdaun/131_bawah.png","LINK")</f>
        <v/>
      </c>
      <c r="AP137" t="n">
        <v>0.9903552492670767</v>
      </c>
      <c r="AQ137" t="n">
        <v>0.7151589439815479</v>
      </c>
      <c r="AR137" t="n">
        <v>0.04155584712245827</v>
      </c>
      <c r="AS137" t="n">
        <v>5</v>
      </c>
      <c r="AT137" t="n">
        <v>4</v>
      </c>
      <c r="AU137" t="n">
        <v>2</v>
      </c>
    </row>
    <row r="138" spans="1:47">
      <c r="A138" t="n">
        <v>132</v>
      </c>
      <c r="B138" t="s">
        <v>161</v>
      </c>
      <c r="C138" t="n">
        <v>10.1</v>
      </c>
      <c r="D138" t="n">
        <v>13.3</v>
      </c>
      <c r="E138">
        <f>HYPERLINK("file:///home/hermansyah/Aplikasi%20TA/data/luasdaun/132_atas.png","LINK")</f>
        <v/>
      </c>
      <c r="F138">
        <f>HYPERLINK("file:///home/hermansyah/Aplikasi%20TA/data/luasdaun/132_bawah.png","LINK")</f>
        <v/>
      </c>
      <c r="G138" t="n">
        <v>0</v>
      </c>
      <c r="H138" t="n">
        <v>23</v>
      </c>
      <c r="I138" t="n">
        <v>9</v>
      </c>
      <c r="J138" t="n">
        <v>0</v>
      </c>
      <c r="K138" t="n">
        <v>21</v>
      </c>
      <c r="L138" t="n">
        <v>11</v>
      </c>
      <c r="M138" t="n">
        <v>0</v>
      </c>
      <c r="N138" t="n">
        <v>18</v>
      </c>
      <c r="O138" t="n">
        <v>9</v>
      </c>
      <c r="P138" t="n">
        <v>0</v>
      </c>
      <c r="Q138" t="n">
        <v>16</v>
      </c>
      <c r="R138" t="n">
        <v>7</v>
      </c>
      <c r="S138" t="n">
        <v>0</v>
      </c>
      <c r="T138" t="n">
        <v>13</v>
      </c>
      <c r="U138" t="n">
        <v>4</v>
      </c>
      <c r="V138" t="n">
        <v>0</v>
      </c>
      <c r="W138" t="n">
        <v>17</v>
      </c>
      <c r="X138" t="n">
        <v>8</v>
      </c>
      <c r="Y138" t="n">
        <v>0</v>
      </c>
      <c r="Z138" t="n">
        <v>22</v>
      </c>
      <c r="AA138" t="n">
        <v>12</v>
      </c>
      <c r="AB138" t="n">
        <v>0</v>
      </c>
      <c r="AC138" t="n">
        <v>17</v>
      </c>
      <c r="AD138" t="n">
        <v>10</v>
      </c>
      <c r="AE138" t="n">
        <v>0</v>
      </c>
      <c r="AF138" t="n">
        <v>15</v>
      </c>
      <c r="AG138" t="n">
        <v>6</v>
      </c>
      <c r="AH138" t="n">
        <v>60</v>
      </c>
      <c r="AI138" t="n">
        <v>71</v>
      </c>
      <c r="AJ138" t="n">
        <v>63</v>
      </c>
      <c r="AK138">
        <f>HYPERLINK("file:///home/hermansyah/Aplikasi%20TA/data/rgbdaun/132.png","LINK")</f>
        <v/>
      </c>
      <c r="AL138" t="n">
        <v>16</v>
      </c>
      <c r="AM138" t="n">
        <v>14</v>
      </c>
      <c r="AN138">
        <f>HYPERLINK("file:///home/hermansyah/Aplikasi%20TA/data/kelilingdaun/132_atas.png","LINK")</f>
        <v/>
      </c>
      <c r="AO138">
        <f>HYPERLINK("file:///home/hermansyah/Aplikasi%20TA/data/kelilingdaun/132_bawah.png","LINK")</f>
        <v/>
      </c>
      <c r="AP138" t="n">
        <v>0.9903552492670767</v>
      </c>
      <c r="AQ138" t="n">
        <v>0.7151589439815479</v>
      </c>
      <c r="AR138" t="n">
        <v>0.0418099598918716</v>
      </c>
      <c r="AS138" t="n">
        <v>5</v>
      </c>
      <c r="AT138" t="n">
        <v>4</v>
      </c>
      <c r="AU138" t="n">
        <v>2</v>
      </c>
    </row>
    <row r="139" spans="1:47">
      <c r="A139" t="n">
        <v>133</v>
      </c>
      <c r="B139" t="s">
        <v>162</v>
      </c>
      <c r="C139" t="n">
        <v>4.100000000000001</v>
      </c>
      <c r="D139" t="n">
        <v>3.7</v>
      </c>
      <c r="E139">
        <f>HYPERLINK("file:///home/hermansyah/Aplikasi%20TA/data/luasdaun/133_atas.png","LINK")</f>
        <v/>
      </c>
      <c r="F139">
        <f>HYPERLINK("file:///home/hermansyah/Aplikasi%20TA/data/luasdaun/133_bawah.png","LINK")</f>
        <v/>
      </c>
      <c r="G139" t="n">
        <v>0</v>
      </c>
      <c r="H139" t="n">
        <v>41</v>
      </c>
      <c r="I139" t="n">
        <v>14</v>
      </c>
      <c r="J139" t="n">
        <v>0</v>
      </c>
      <c r="K139" t="n">
        <v>44</v>
      </c>
      <c r="L139" t="n">
        <v>21</v>
      </c>
      <c r="M139" t="n">
        <v>0</v>
      </c>
      <c r="N139" t="n">
        <v>40</v>
      </c>
      <c r="O139" t="n">
        <v>19</v>
      </c>
      <c r="P139" t="n">
        <v>0</v>
      </c>
      <c r="Q139" t="n">
        <v>40</v>
      </c>
      <c r="R139" t="n">
        <v>17</v>
      </c>
      <c r="S139" t="n">
        <v>0</v>
      </c>
      <c r="T139" t="n">
        <v>47</v>
      </c>
      <c r="U139" t="n">
        <v>23</v>
      </c>
      <c r="V139" t="n">
        <v>5</v>
      </c>
      <c r="W139" t="n">
        <v>36</v>
      </c>
      <c r="X139" t="n">
        <v>21</v>
      </c>
      <c r="Y139" t="n">
        <v>0</v>
      </c>
      <c r="Z139" t="n">
        <v>44</v>
      </c>
      <c r="AA139" t="n">
        <v>22</v>
      </c>
      <c r="AB139" t="n">
        <v>0</v>
      </c>
      <c r="AC139" t="n">
        <v>41</v>
      </c>
      <c r="AD139" t="n">
        <v>20</v>
      </c>
      <c r="AE139" t="n">
        <v>1</v>
      </c>
      <c r="AF139" t="n">
        <v>40</v>
      </c>
      <c r="AG139" t="n">
        <v>18</v>
      </c>
      <c r="AH139" t="n">
        <v>109</v>
      </c>
      <c r="AI139" t="n">
        <v>123</v>
      </c>
      <c r="AJ139" t="n">
        <v>111</v>
      </c>
      <c r="AK139">
        <f>HYPERLINK("file:///home/hermansyah/Aplikasi%20TA/data/rgbdaun/133.png","LINK")</f>
        <v/>
      </c>
      <c r="AL139" t="n">
        <v>16</v>
      </c>
      <c r="AM139" t="n">
        <v>14</v>
      </c>
      <c r="AN139">
        <f>HYPERLINK("file:///home/hermansyah/Aplikasi%20TA/data/kelilingdaun/133_atas.png","LINK")</f>
        <v/>
      </c>
      <c r="AO139">
        <f>HYPERLINK("file:///home/hermansyah/Aplikasi%20TA/data/kelilingdaun/133_bawah.png","LINK")</f>
        <v/>
      </c>
      <c r="AP139" t="n">
        <v>0.9903552492638157</v>
      </c>
      <c r="AQ139" t="n">
        <v>0.7151589439815479</v>
      </c>
      <c r="AR139" t="n">
        <v>0.02568884691062387</v>
      </c>
      <c r="AS139" t="n">
        <v>4</v>
      </c>
      <c r="AT139" t="n">
        <v>4</v>
      </c>
      <c r="AU139" t="n">
        <v>3</v>
      </c>
    </row>
    <row r="140" spans="1:47">
      <c r="A140" t="n">
        <v>134</v>
      </c>
      <c r="B140" t="s">
        <v>163</v>
      </c>
      <c r="C140" t="n">
        <v>0.6000000000000001</v>
      </c>
      <c r="D140" t="n">
        <v>1.1</v>
      </c>
      <c r="E140">
        <f>HYPERLINK("file:///home/hermansyah/Aplikasi%20TA/data/luasdaun/134_atas.png","LINK")</f>
        <v/>
      </c>
      <c r="F140">
        <f>HYPERLINK("file:///home/hermansyah/Aplikasi%20TA/data/luasdaun/134_bawah.png","LINK")</f>
        <v/>
      </c>
      <c r="G140" t="n">
        <v>2</v>
      </c>
      <c r="H140" t="n">
        <v>22</v>
      </c>
      <c r="I140" t="n">
        <v>9</v>
      </c>
      <c r="J140" t="n">
        <v>45</v>
      </c>
      <c r="K140" t="n">
        <v>64</v>
      </c>
      <c r="L140" t="n">
        <v>55</v>
      </c>
      <c r="M140" t="n">
        <v>81</v>
      </c>
      <c r="N140" t="n">
        <v>92</v>
      </c>
      <c r="O140" t="n">
        <v>89</v>
      </c>
      <c r="P140" t="n">
        <v>86</v>
      </c>
      <c r="Q140" t="n">
        <v>97</v>
      </c>
      <c r="R140" t="n">
        <v>94</v>
      </c>
      <c r="S140" t="n">
        <v>87</v>
      </c>
      <c r="T140" t="n">
        <v>100</v>
      </c>
      <c r="U140" t="n">
        <v>92</v>
      </c>
      <c r="V140" t="n">
        <v>0</v>
      </c>
      <c r="W140" t="n">
        <v>21</v>
      </c>
      <c r="X140" t="n">
        <v>7</v>
      </c>
      <c r="Y140" t="n">
        <v>18</v>
      </c>
      <c r="Z140" t="n">
        <v>42</v>
      </c>
      <c r="AA140" t="n">
        <v>32</v>
      </c>
      <c r="AB140" t="n">
        <v>83</v>
      </c>
      <c r="AC140" t="n">
        <v>92</v>
      </c>
      <c r="AD140" t="n">
        <v>89</v>
      </c>
      <c r="AE140" t="n">
        <v>85</v>
      </c>
      <c r="AF140" t="n">
        <v>96</v>
      </c>
      <c r="AG140" t="n">
        <v>93</v>
      </c>
      <c r="AH140" t="n">
        <v>88</v>
      </c>
      <c r="AI140" t="n">
        <v>99</v>
      </c>
      <c r="AJ140" t="n">
        <v>91</v>
      </c>
      <c r="AK140">
        <f>HYPERLINK("file:///home/hermansyah/Aplikasi%20TA/data/rgbdaun/134.png","LINK")</f>
        <v/>
      </c>
      <c r="AL140" t="n">
        <v>6</v>
      </c>
      <c r="AM140" t="n">
        <v>7</v>
      </c>
      <c r="AN140">
        <f>HYPERLINK("file:///home/hermansyah/Aplikasi%20TA/data/kelilingdaun/134_atas.png","LINK")</f>
        <v/>
      </c>
      <c r="AO140">
        <f>HYPERLINK("file:///home/hermansyah/Aplikasi%20TA/data/kelilingdaun/134_bawah.png","LINK")</f>
        <v/>
      </c>
      <c r="AP140" t="n">
        <v>0.9994464522772248</v>
      </c>
      <c r="AQ140" t="n">
        <v>0.9346994802597614</v>
      </c>
      <c r="AR140" t="n">
        <v>2.937321191649699e-07</v>
      </c>
      <c r="AS140" t="n">
        <v>1</v>
      </c>
      <c r="AT140" t="n">
        <v>1</v>
      </c>
      <c r="AU140" t="n">
        <v>1</v>
      </c>
    </row>
    <row r="141" spans="1:47">
      <c r="A141" t="n">
        <v>135</v>
      </c>
      <c r="B141" t="s">
        <v>164</v>
      </c>
      <c r="C141" t="n">
        <v>1.7</v>
      </c>
      <c r="D141" t="n">
        <v>4.2</v>
      </c>
      <c r="E141">
        <f>HYPERLINK("file:///home/hermansyah/Aplikasi%20TA/data/luasdaun/135_atas.png","LINK")</f>
        <v/>
      </c>
      <c r="F141">
        <f>HYPERLINK("file:///home/hermansyah/Aplikasi%20TA/data/luasdaun/135_bawah.png","LINK")</f>
        <v/>
      </c>
      <c r="G141" t="n">
        <v>0</v>
      </c>
      <c r="H141" t="n">
        <v>23</v>
      </c>
      <c r="I141" t="n">
        <v>8</v>
      </c>
      <c r="J141" t="n">
        <v>27</v>
      </c>
      <c r="K141" t="n">
        <v>44</v>
      </c>
      <c r="L141" t="n">
        <v>35</v>
      </c>
      <c r="M141" t="n">
        <v>78</v>
      </c>
      <c r="N141" t="n">
        <v>85</v>
      </c>
      <c r="O141" t="n">
        <v>80</v>
      </c>
      <c r="P141" t="n">
        <v>74</v>
      </c>
      <c r="Q141" t="n">
        <v>82</v>
      </c>
      <c r="R141" t="n">
        <v>75</v>
      </c>
      <c r="S141" t="n">
        <v>72</v>
      </c>
      <c r="T141" t="n">
        <v>80</v>
      </c>
      <c r="U141" t="n">
        <v>69</v>
      </c>
      <c r="V141" t="n">
        <v>2</v>
      </c>
      <c r="W141" t="n">
        <v>25</v>
      </c>
      <c r="X141" t="n">
        <v>10</v>
      </c>
      <c r="Y141" t="n">
        <v>23</v>
      </c>
      <c r="Z141" t="n">
        <v>44</v>
      </c>
      <c r="AA141" t="n">
        <v>35</v>
      </c>
      <c r="AB141" t="n">
        <v>78</v>
      </c>
      <c r="AC141" t="n">
        <v>84</v>
      </c>
      <c r="AD141" t="n">
        <v>79</v>
      </c>
      <c r="AE141" t="n">
        <v>75</v>
      </c>
      <c r="AF141" t="n">
        <v>82</v>
      </c>
      <c r="AG141" t="n">
        <v>75</v>
      </c>
      <c r="AH141" t="n">
        <v>75</v>
      </c>
      <c r="AI141" t="n">
        <v>80</v>
      </c>
      <c r="AJ141" t="n">
        <v>71</v>
      </c>
      <c r="AK141">
        <f>HYPERLINK("file:///home/hermansyah/Aplikasi%20TA/data/rgbdaun/135.png","LINK")</f>
        <v/>
      </c>
      <c r="AL141" t="n">
        <v>6</v>
      </c>
      <c r="AM141" t="n">
        <v>7</v>
      </c>
      <c r="AN141">
        <f>HYPERLINK("file:///home/hermansyah/Aplikasi%20TA/data/kelilingdaun/135_atas.png","LINK")</f>
        <v/>
      </c>
      <c r="AO141">
        <f>HYPERLINK("file:///home/hermansyah/Aplikasi%20TA/data/kelilingdaun/135_bawah.png","LINK")</f>
        <v/>
      </c>
      <c r="AP141" t="n">
        <v>0.9903552492552007</v>
      </c>
      <c r="AQ141" t="n">
        <v>0.9346994802597614</v>
      </c>
      <c r="AR141" t="n">
        <v>2.939052016354822e-07</v>
      </c>
      <c r="AS141" t="n">
        <v>0</v>
      </c>
      <c r="AT141" t="n">
        <v>1</v>
      </c>
      <c r="AU141" t="n">
        <v>1</v>
      </c>
    </row>
    <row r="142" spans="1:47">
      <c r="A142" t="n">
        <v>136</v>
      </c>
      <c r="B142" t="s">
        <v>165</v>
      </c>
      <c r="C142" t="n">
        <v>0.4</v>
      </c>
      <c r="D142" t="n">
        <v>0.7000000000000001</v>
      </c>
      <c r="E142">
        <f>HYPERLINK("file:///home/hermansyah/Aplikasi%20TA/data/luasdaun/136_atas.png","LINK")</f>
        <v/>
      </c>
      <c r="F142">
        <f>HYPERLINK("file:///home/hermansyah/Aplikasi%20TA/data/luasdaun/136_bawah.png","LINK")</f>
        <v/>
      </c>
      <c r="G142" t="n">
        <v>4</v>
      </c>
      <c r="H142" t="n">
        <v>50</v>
      </c>
      <c r="I142" t="n">
        <v>21</v>
      </c>
      <c r="J142" t="n">
        <v>102</v>
      </c>
      <c r="K142" t="n">
        <v>118</v>
      </c>
      <c r="L142" t="n">
        <v>107</v>
      </c>
      <c r="M142" t="n">
        <v>116</v>
      </c>
      <c r="N142" t="n">
        <v>130</v>
      </c>
      <c r="O142" t="n">
        <v>126</v>
      </c>
      <c r="P142" t="n">
        <v>121</v>
      </c>
      <c r="Q142" t="n">
        <v>134</v>
      </c>
      <c r="R142" t="n">
        <v>126</v>
      </c>
      <c r="S142" t="n">
        <v>123</v>
      </c>
      <c r="T142" t="n">
        <v>135</v>
      </c>
      <c r="U142" t="n">
        <v>123</v>
      </c>
      <c r="V142" t="n">
        <v>7</v>
      </c>
      <c r="W142" t="n">
        <v>51</v>
      </c>
      <c r="X142" t="n">
        <v>22</v>
      </c>
      <c r="Y142" t="n">
        <v>42</v>
      </c>
      <c r="Z142" t="n">
        <v>80</v>
      </c>
      <c r="AA142" t="n">
        <v>62</v>
      </c>
      <c r="AB142" t="n">
        <v>119</v>
      </c>
      <c r="AC142" t="n">
        <v>131</v>
      </c>
      <c r="AD142" t="n">
        <v>125</v>
      </c>
      <c r="AE142" t="n">
        <v>120</v>
      </c>
      <c r="AF142" t="n">
        <v>131</v>
      </c>
      <c r="AG142" t="n">
        <v>123</v>
      </c>
      <c r="AH142" t="n">
        <v>124</v>
      </c>
      <c r="AI142" t="n">
        <v>133</v>
      </c>
      <c r="AJ142" t="n">
        <v>123</v>
      </c>
      <c r="AK142">
        <f>HYPERLINK("file:///home/hermansyah/Aplikasi%20TA/data/rgbdaun/136.png","LINK")</f>
        <v/>
      </c>
      <c r="AL142" t="n">
        <v>5</v>
      </c>
      <c r="AM142" t="n">
        <v>7</v>
      </c>
      <c r="AN142">
        <f>HYPERLINK("file:///home/hermansyah/Aplikasi%20TA/data/kelilingdaun/136_atas.png","LINK")</f>
        <v/>
      </c>
      <c r="AO142">
        <f>HYPERLINK("file:///home/hermansyah/Aplikasi%20TA/data/kelilingdaun/136_bawah.png","LINK")</f>
        <v/>
      </c>
      <c r="AP142" t="n">
        <v>0.9999398242278248</v>
      </c>
      <c r="AQ142" t="n">
        <v>0.9339283750491904</v>
      </c>
      <c r="AR142" t="n">
        <v>2.936972449082967e-07</v>
      </c>
      <c r="AS142" t="n">
        <v>1</v>
      </c>
      <c r="AT142" t="n">
        <v>1</v>
      </c>
      <c r="AU142" t="n">
        <v>1</v>
      </c>
    </row>
    <row r="143" spans="1:47">
      <c r="A143" t="n">
        <v>137</v>
      </c>
      <c r="B143" t="s">
        <v>166</v>
      </c>
      <c r="C143" t="n">
        <v>9.5</v>
      </c>
      <c r="D143" t="n">
        <v>9.9</v>
      </c>
      <c r="E143">
        <f>HYPERLINK("file:///home/hermansyah/Aplikasi%20TA/data/luasdaun/137_atas.png","LINK")</f>
        <v/>
      </c>
      <c r="F143">
        <f>HYPERLINK("file:///home/hermansyah/Aplikasi%20TA/data/luasdaun/137_bawah.png","LINK")</f>
        <v/>
      </c>
      <c r="G143" t="n">
        <v>0</v>
      </c>
      <c r="H143" t="n">
        <v>7</v>
      </c>
      <c r="I143" t="n">
        <v>2</v>
      </c>
      <c r="J143" t="n">
        <v>2</v>
      </c>
      <c r="K143" t="n">
        <v>9</v>
      </c>
      <c r="L143" t="n">
        <v>6</v>
      </c>
      <c r="M143" t="n">
        <v>1</v>
      </c>
      <c r="N143" t="n">
        <v>12</v>
      </c>
      <c r="O143" t="n">
        <v>9</v>
      </c>
      <c r="P143" t="n">
        <v>1</v>
      </c>
      <c r="Q143" t="n">
        <v>14</v>
      </c>
      <c r="R143" t="n">
        <v>6</v>
      </c>
      <c r="S143" t="n">
        <v>0</v>
      </c>
      <c r="T143" t="n">
        <v>10</v>
      </c>
      <c r="U143" t="n">
        <v>4</v>
      </c>
      <c r="V143" t="n">
        <v>1</v>
      </c>
      <c r="W143" t="n">
        <v>7</v>
      </c>
      <c r="X143" t="n">
        <v>2</v>
      </c>
      <c r="Y143" t="n">
        <v>4</v>
      </c>
      <c r="Z143" t="n">
        <v>11</v>
      </c>
      <c r="AA143" t="n">
        <v>8</v>
      </c>
      <c r="AB143" t="n">
        <v>2</v>
      </c>
      <c r="AC143" t="n">
        <v>12</v>
      </c>
      <c r="AD143" t="n">
        <v>6</v>
      </c>
      <c r="AE143" t="n">
        <v>0</v>
      </c>
      <c r="AF143" t="n">
        <v>13</v>
      </c>
      <c r="AG143" t="n">
        <v>5</v>
      </c>
      <c r="AH143" t="n">
        <v>2</v>
      </c>
      <c r="AI143" t="n">
        <v>19</v>
      </c>
      <c r="AJ143" t="n">
        <v>10</v>
      </c>
      <c r="AK143">
        <f>HYPERLINK("file:///home/hermansyah/Aplikasi%20TA/data/rgbdaun/137.png","LINK")</f>
        <v/>
      </c>
      <c r="AL143" t="n">
        <v>19</v>
      </c>
      <c r="AM143" t="n">
        <v>16</v>
      </c>
      <c r="AN143">
        <f>HYPERLINK("file:///home/hermansyah/Aplikasi%20TA/data/kelilingdaun/137_atas.png","LINK")</f>
        <v/>
      </c>
      <c r="AO143">
        <f>HYPERLINK("file:///home/hermansyah/Aplikasi%20TA/data/kelilingdaun/137_bawah.png","LINK")</f>
        <v/>
      </c>
      <c r="AP143" t="n">
        <v>0.9903552492670767</v>
      </c>
      <c r="AQ143" t="n">
        <v>0.7154875220289892</v>
      </c>
      <c r="AR143" t="n">
        <v>0.001260815585296134</v>
      </c>
      <c r="AS143" t="n">
        <v>5</v>
      </c>
      <c r="AT143" t="n">
        <v>4</v>
      </c>
      <c r="AU143" t="n">
        <v>4</v>
      </c>
    </row>
    <row r="144" spans="1:47">
      <c r="A144" t="n">
        <v>138</v>
      </c>
      <c r="B144" t="s">
        <v>167</v>
      </c>
      <c r="C144" t="n">
        <v>12.5</v>
      </c>
      <c r="D144" t="n">
        <v>13.3</v>
      </c>
      <c r="E144">
        <f>HYPERLINK("file:///home/hermansyah/Aplikasi%20TA/data/luasdaun/138_atas.png","LINK")</f>
        <v/>
      </c>
      <c r="F144">
        <f>HYPERLINK("file:///home/hermansyah/Aplikasi%20TA/data/luasdaun/138_bawah.png","LINK")</f>
        <v/>
      </c>
      <c r="G144" t="n">
        <v>0</v>
      </c>
      <c r="H144" t="n">
        <v>10</v>
      </c>
      <c r="I144" t="n">
        <v>0</v>
      </c>
      <c r="J144" t="n">
        <v>3</v>
      </c>
      <c r="K144" t="n">
        <v>12</v>
      </c>
      <c r="L144" t="n">
        <v>2</v>
      </c>
      <c r="M144" t="n">
        <v>2</v>
      </c>
      <c r="N144" t="n">
        <v>10</v>
      </c>
      <c r="O144" t="n">
        <v>3</v>
      </c>
      <c r="P144" t="n">
        <v>1</v>
      </c>
      <c r="Q144" t="n">
        <v>10</v>
      </c>
      <c r="R144" t="n">
        <v>0</v>
      </c>
      <c r="S144" t="n">
        <v>0</v>
      </c>
      <c r="T144" t="n">
        <v>5</v>
      </c>
      <c r="U144" t="n">
        <v>0</v>
      </c>
      <c r="V144" t="n">
        <v>1</v>
      </c>
      <c r="W144" t="n">
        <v>9</v>
      </c>
      <c r="X144" t="n">
        <v>0</v>
      </c>
      <c r="Y144" t="n">
        <v>3</v>
      </c>
      <c r="Z144" t="n">
        <v>12</v>
      </c>
      <c r="AA144" t="n">
        <v>2</v>
      </c>
      <c r="AB144" t="n">
        <v>2</v>
      </c>
      <c r="AC144" t="n">
        <v>11</v>
      </c>
      <c r="AD144" t="n">
        <v>1</v>
      </c>
      <c r="AE144" t="n">
        <v>2</v>
      </c>
      <c r="AF144" t="n">
        <v>11</v>
      </c>
      <c r="AG144" t="n">
        <v>1</v>
      </c>
      <c r="AH144" t="n">
        <v>0</v>
      </c>
      <c r="AI144" t="n">
        <v>10</v>
      </c>
      <c r="AJ144" t="n">
        <v>0</v>
      </c>
      <c r="AK144">
        <f>HYPERLINK("file:///home/hermansyah/Aplikasi%20TA/data/rgbdaun/138.png","LINK")</f>
        <v/>
      </c>
      <c r="AL144" t="n">
        <v>20</v>
      </c>
      <c r="AM144" t="n">
        <v>16</v>
      </c>
      <c r="AN144">
        <f>HYPERLINK("file:///home/hermansyah/Aplikasi%20TA/data/kelilingdaun/138_atas.png","LINK")</f>
        <v/>
      </c>
      <c r="AO144">
        <f>HYPERLINK("file:///home/hermansyah/Aplikasi%20TA/data/kelilingdaun/138_bawah.png","LINK")</f>
        <v/>
      </c>
      <c r="AP144" t="n">
        <v>0.9903552492670767</v>
      </c>
      <c r="AQ144" t="n">
        <v>0.7155216681100861</v>
      </c>
      <c r="AR144" t="n">
        <v>0.000522888528824769</v>
      </c>
      <c r="AS144" t="n">
        <v>5</v>
      </c>
      <c r="AT144" t="n">
        <v>5</v>
      </c>
      <c r="AU144" t="n">
        <v>3</v>
      </c>
    </row>
    <row r="145" spans="1:47">
      <c r="A145" t="n">
        <v>139</v>
      </c>
      <c r="B145" t="s">
        <v>168</v>
      </c>
      <c r="C145" t="n">
        <v>6.100000000000001</v>
      </c>
      <c r="D145" t="n">
        <v>4.600000000000001</v>
      </c>
      <c r="E145">
        <f>HYPERLINK("file:///home/hermansyah/Aplikasi%20TA/data/luasdaun/139_atas.png","LINK")</f>
        <v/>
      </c>
      <c r="F145">
        <f>HYPERLINK("file:///home/hermansyah/Aplikasi%20TA/data/luasdaun/139_bawah.png","LINK")</f>
        <v/>
      </c>
      <c r="G145" t="n">
        <v>4</v>
      </c>
      <c r="H145" t="n">
        <v>19</v>
      </c>
      <c r="I145" t="n">
        <v>11</v>
      </c>
      <c r="J145" t="n">
        <v>5</v>
      </c>
      <c r="K145" t="n">
        <v>19</v>
      </c>
      <c r="L145" t="n">
        <v>13</v>
      </c>
      <c r="M145" t="n">
        <v>3</v>
      </c>
      <c r="N145" t="n">
        <v>22</v>
      </c>
      <c r="O145" t="n">
        <v>13</v>
      </c>
      <c r="P145" t="n">
        <v>5</v>
      </c>
      <c r="Q145" t="n">
        <v>24</v>
      </c>
      <c r="R145" t="n">
        <v>15</v>
      </c>
      <c r="S145" t="n">
        <v>7</v>
      </c>
      <c r="T145" t="n">
        <v>12</v>
      </c>
      <c r="U145" t="n">
        <v>13</v>
      </c>
      <c r="V145" t="n">
        <v>4</v>
      </c>
      <c r="W145" t="n">
        <v>15</v>
      </c>
      <c r="X145" t="n">
        <v>5</v>
      </c>
      <c r="Y145" t="n">
        <v>6</v>
      </c>
      <c r="Z145" t="n">
        <v>21</v>
      </c>
      <c r="AA145" t="n">
        <v>13</v>
      </c>
      <c r="AB145" t="n">
        <v>4</v>
      </c>
      <c r="AC145" t="n">
        <v>23</v>
      </c>
      <c r="AD145" t="n">
        <v>14</v>
      </c>
      <c r="AE145" t="n">
        <v>1</v>
      </c>
      <c r="AF145" t="n">
        <v>23</v>
      </c>
      <c r="AG145" t="n">
        <v>11</v>
      </c>
      <c r="AH145" t="n">
        <v>6</v>
      </c>
      <c r="AI145" t="n">
        <v>29</v>
      </c>
      <c r="AJ145" t="n">
        <v>15</v>
      </c>
      <c r="AK145">
        <f>HYPERLINK("file:///home/hermansyah/Aplikasi%20TA/data/rgbdaun/139.png","LINK")</f>
        <v/>
      </c>
      <c r="AL145" t="n">
        <v>19</v>
      </c>
      <c r="AM145" t="n">
        <v>16</v>
      </c>
      <c r="AN145">
        <f>HYPERLINK("file:///home/hermansyah/Aplikasi%20TA/data/kelilingdaun/139_atas.png","LINK")</f>
        <v/>
      </c>
      <c r="AO145">
        <f>HYPERLINK("file:///home/hermansyah/Aplikasi%20TA/data/kelilingdaun/139_bawah.png","LINK")</f>
        <v/>
      </c>
      <c r="AP145" t="n">
        <v>0.9903552492670702</v>
      </c>
      <c r="AQ145" t="n">
        <v>0.7154875220289892</v>
      </c>
      <c r="AR145" t="n">
        <v>2.354150368244644e-06</v>
      </c>
      <c r="AS145" t="n">
        <v>5</v>
      </c>
      <c r="AT145" t="n">
        <v>4</v>
      </c>
      <c r="AU145" t="n">
        <v>5</v>
      </c>
    </row>
    <row r="146" spans="1:47">
      <c r="A146" t="n">
        <v>140</v>
      </c>
      <c r="B146" t="s">
        <v>169</v>
      </c>
      <c r="C146" t="n">
        <v>3.1</v>
      </c>
      <c r="D146" t="n">
        <v>3</v>
      </c>
      <c r="E146">
        <f>HYPERLINK("file:///home/hermansyah/Aplikasi%20TA/data/luasdaun/140_atas.png","LINK")</f>
        <v/>
      </c>
      <c r="F146">
        <f>HYPERLINK("file:///home/hermansyah/Aplikasi%20TA/data/luasdaun/140_bawah.png","LINK")</f>
        <v/>
      </c>
      <c r="G146" t="n">
        <v>0</v>
      </c>
      <c r="H146" t="n">
        <v>37</v>
      </c>
      <c r="I146" t="n">
        <v>12</v>
      </c>
      <c r="J146" t="n">
        <v>1</v>
      </c>
      <c r="K146" t="n">
        <v>35</v>
      </c>
      <c r="L146" t="n">
        <v>18</v>
      </c>
      <c r="M146" t="n">
        <v>0</v>
      </c>
      <c r="N146" t="n">
        <v>39</v>
      </c>
      <c r="O146" t="n">
        <v>18</v>
      </c>
      <c r="P146" t="n">
        <v>0</v>
      </c>
      <c r="Q146" t="n">
        <v>46</v>
      </c>
      <c r="R146" t="n">
        <v>22</v>
      </c>
      <c r="S146" t="n">
        <v>116</v>
      </c>
      <c r="T146" t="n">
        <v>132</v>
      </c>
      <c r="U146" t="n">
        <v>121</v>
      </c>
      <c r="V146" t="n">
        <v>0</v>
      </c>
      <c r="W146" t="n">
        <v>33</v>
      </c>
      <c r="X146" t="n">
        <v>12</v>
      </c>
      <c r="Y146" t="n">
        <v>0</v>
      </c>
      <c r="Z146" t="n">
        <v>33</v>
      </c>
      <c r="AA146" t="n">
        <v>16</v>
      </c>
      <c r="AB146" t="n">
        <v>0</v>
      </c>
      <c r="AC146" t="n">
        <v>37</v>
      </c>
      <c r="AD146" t="n">
        <v>19</v>
      </c>
      <c r="AE146" t="n">
        <v>115</v>
      </c>
      <c r="AF146" t="n">
        <v>130</v>
      </c>
      <c r="AG146" t="n">
        <v>122</v>
      </c>
      <c r="AH146" t="n">
        <v>118</v>
      </c>
      <c r="AI146" t="n">
        <v>132</v>
      </c>
      <c r="AJ146" t="n">
        <v>120</v>
      </c>
      <c r="AK146">
        <f>HYPERLINK("file:///home/hermansyah/Aplikasi%20TA/data/rgbdaun/140.png","LINK")</f>
        <v/>
      </c>
      <c r="AL146" t="n">
        <v>15</v>
      </c>
      <c r="AM146" t="n">
        <v>13</v>
      </c>
      <c r="AN146">
        <f>HYPERLINK("file:///home/hermansyah/Aplikasi%20TA/data/kelilingdaun/140_atas.png","LINK")</f>
        <v/>
      </c>
      <c r="AO146">
        <f>HYPERLINK("file:///home/hermansyah/Aplikasi%20TA/data/kelilingdaun/140_bawah.png","LINK")</f>
        <v/>
      </c>
      <c r="AP146" t="n">
        <v>0.9903552492448559</v>
      </c>
      <c r="AQ146" t="n">
        <v>0.7148817561015374</v>
      </c>
      <c r="AR146" t="n">
        <v>0.03608898796062272</v>
      </c>
      <c r="AS146" t="n">
        <v>3</v>
      </c>
      <c r="AT146" t="n">
        <v>3</v>
      </c>
      <c r="AU146" t="n">
        <v>3</v>
      </c>
    </row>
    <row r="147" spans="1:47">
      <c r="A147" t="n">
        <v>141</v>
      </c>
      <c r="B147" t="s">
        <v>170</v>
      </c>
      <c r="C147" t="n">
        <v>2.2</v>
      </c>
      <c r="D147" t="n">
        <v>2.6</v>
      </c>
      <c r="E147">
        <f>HYPERLINK("file:///home/hermansyah/Aplikasi%20TA/data/luasdaun/141_atas.png","LINK")</f>
        <v/>
      </c>
      <c r="F147">
        <f>HYPERLINK("file:///home/hermansyah/Aplikasi%20TA/data/luasdaun/141_bawah.png","LINK")</f>
        <v/>
      </c>
      <c r="G147" t="n">
        <v>0</v>
      </c>
      <c r="H147" t="n">
        <v>57</v>
      </c>
      <c r="I147" t="n">
        <v>17</v>
      </c>
      <c r="J147" t="n">
        <v>0</v>
      </c>
      <c r="K147" t="n">
        <v>50</v>
      </c>
      <c r="L147" t="n">
        <v>20</v>
      </c>
      <c r="M147" t="n">
        <v>0</v>
      </c>
      <c r="N147" t="n">
        <v>51</v>
      </c>
      <c r="O147" t="n">
        <v>21</v>
      </c>
      <c r="P147" t="n">
        <v>100</v>
      </c>
      <c r="Q147" t="n">
        <v>121</v>
      </c>
      <c r="R147" t="n">
        <v>112</v>
      </c>
      <c r="S147" t="n">
        <v>118</v>
      </c>
      <c r="T147" t="n">
        <v>135</v>
      </c>
      <c r="U147" t="n">
        <v>122</v>
      </c>
      <c r="V147" t="n">
        <v>0</v>
      </c>
      <c r="W147" t="n">
        <v>50</v>
      </c>
      <c r="X147" t="n">
        <v>13</v>
      </c>
      <c r="Y147" t="n">
        <v>0</v>
      </c>
      <c r="Z147" t="n">
        <v>47</v>
      </c>
      <c r="AA147" t="n">
        <v>19</v>
      </c>
      <c r="AB147" t="n">
        <v>0</v>
      </c>
      <c r="AC147" t="n">
        <v>54</v>
      </c>
      <c r="AD147" t="n">
        <v>25</v>
      </c>
      <c r="AE147" t="n">
        <v>105</v>
      </c>
      <c r="AF147" t="n">
        <v>122</v>
      </c>
      <c r="AG147" t="n">
        <v>111</v>
      </c>
      <c r="AH147" t="n">
        <v>117</v>
      </c>
      <c r="AI147" t="n">
        <v>131</v>
      </c>
      <c r="AJ147" t="n">
        <v>119</v>
      </c>
      <c r="AK147">
        <f>HYPERLINK("file:///home/hermansyah/Aplikasi%20TA/data/rgbdaun/141.png","LINK")</f>
        <v/>
      </c>
      <c r="AL147" t="n">
        <v>12</v>
      </c>
      <c r="AM147" t="n">
        <v>12</v>
      </c>
      <c r="AN147">
        <f>HYPERLINK("file:///home/hermansyah/Aplikasi%20TA/data/kelilingdaun/141_atas.png","LINK")</f>
        <v/>
      </c>
      <c r="AO147">
        <f>HYPERLINK("file:///home/hermansyah/Aplikasi%20TA/data/kelilingdaun/141_bawah.png","LINK")</f>
        <v/>
      </c>
      <c r="AP147" t="n">
        <v>0.990355252786248</v>
      </c>
      <c r="AQ147" t="n">
        <v>0.9062917531478588</v>
      </c>
      <c r="AR147" t="n">
        <v>0.03613742580641529</v>
      </c>
      <c r="AS147" t="n">
        <v>3</v>
      </c>
      <c r="AT147" t="n">
        <v>2</v>
      </c>
      <c r="AU147" t="n">
        <v>2</v>
      </c>
    </row>
    <row r="148" spans="1:47">
      <c r="A148" t="n">
        <v>142</v>
      </c>
      <c r="B148" t="s">
        <v>171</v>
      </c>
      <c r="C148" t="n">
        <v>1.5</v>
      </c>
      <c r="D148" t="n">
        <v>1.8</v>
      </c>
      <c r="E148">
        <f>HYPERLINK("file:///home/hermansyah/Aplikasi%20TA/data/luasdaun/142_atas.png","LINK")</f>
        <v/>
      </c>
      <c r="F148">
        <f>HYPERLINK("file:///home/hermansyah/Aplikasi%20TA/data/luasdaun/142_bawah.png","LINK")</f>
        <v/>
      </c>
      <c r="G148" t="n">
        <v>1</v>
      </c>
      <c r="H148" t="n">
        <v>56</v>
      </c>
      <c r="I148" t="n">
        <v>17</v>
      </c>
      <c r="J148" t="n">
        <v>1</v>
      </c>
      <c r="K148" t="n">
        <v>51</v>
      </c>
      <c r="L148" t="n">
        <v>19</v>
      </c>
      <c r="M148" t="n">
        <v>6</v>
      </c>
      <c r="N148" t="n">
        <v>75</v>
      </c>
      <c r="O148" t="n">
        <v>54</v>
      </c>
      <c r="P148" t="n">
        <v>117</v>
      </c>
      <c r="Q148" t="n">
        <v>132</v>
      </c>
      <c r="R148" t="n">
        <v>124</v>
      </c>
      <c r="S148" t="n">
        <v>122</v>
      </c>
      <c r="T148" t="n">
        <v>134</v>
      </c>
      <c r="U148" t="n">
        <v>122</v>
      </c>
      <c r="V148" t="n">
        <v>0</v>
      </c>
      <c r="W148" t="n">
        <v>55</v>
      </c>
      <c r="X148" t="n">
        <v>16</v>
      </c>
      <c r="Y148" t="n">
        <v>0</v>
      </c>
      <c r="Z148" t="n">
        <v>47</v>
      </c>
      <c r="AA148" t="n">
        <v>15</v>
      </c>
      <c r="AB148" t="n">
        <v>2</v>
      </c>
      <c r="AC148" t="n">
        <v>73</v>
      </c>
      <c r="AD148" t="n">
        <v>46</v>
      </c>
      <c r="AE148" t="n">
        <v>119</v>
      </c>
      <c r="AF148" t="n">
        <v>132</v>
      </c>
      <c r="AG148" t="n">
        <v>124</v>
      </c>
      <c r="AH148" t="n">
        <v>121</v>
      </c>
      <c r="AI148" t="n">
        <v>134</v>
      </c>
      <c r="AJ148" t="n">
        <v>120</v>
      </c>
      <c r="AK148">
        <f>HYPERLINK("file:///home/hermansyah/Aplikasi%20TA/data/rgbdaun/142.png","LINK")</f>
        <v/>
      </c>
      <c r="AL148" t="n">
        <v>10</v>
      </c>
      <c r="AM148" t="n">
        <v>10</v>
      </c>
      <c r="AN148">
        <f>HYPERLINK("file:///home/hermansyah/Aplikasi%20TA/data/kelilingdaun/142_atas.png","LINK")</f>
        <v/>
      </c>
      <c r="AO148">
        <f>HYPERLINK("file:///home/hermansyah/Aplikasi%20TA/data/kelilingdaun/142_bawah.png","LINK")</f>
        <v/>
      </c>
      <c r="AP148" t="n">
        <v>0.990411006237927</v>
      </c>
      <c r="AQ148" t="n">
        <v>0.9220509503612092</v>
      </c>
      <c r="AR148" t="n">
        <v>0.03841033424802471</v>
      </c>
      <c r="AS148" t="n">
        <v>2</v>
      </c>
      <c r="AT148" t="n">
        <v>2</v>
      </c>
      <c r="AU148" t="n">
        <v>2</v>
      </c>
    </row>
    <row r="149" spans="1:47">
      <c r="A149" t="n">
        <v>143</v>
      </c>
      <c r="B149" t="s">
        <v>172</v>
      </c>
      <c r="C149" t="n">
        <v>1.5</v>
      </c>
      <c r="D149" t="n">
        <v>1.7</v>
      </c>
      <c r="E149">
        <f>HYPERLINK("file:///home/hermansyah/Aplikasi%20TA/data/luasdaun/143_atas.png","LINK")</f>
        <v/>
      </c>
      <c r="F149">
        <f>HYPERLINK("file:///home/hermansyah/Aplikasi%20TA/data/luasdaun/143_bawah.png","LINK")</f>
        <v/>
      </c>
      <c r="G149" t="n">
        <v>0</v>
      </c>
      <c r="H149" t="n">
        <v>50</v>
      </c>
      <c r="I149" t="n">
        <v>18</v>
      </c>
      <c r="J149" t="n">
        <v>1</v>
      </c>
      <c r="K149" t="n">
        <v>52</v>
      </c>
      <c r="L149" t="n">
        <v>24</v>
      </c>
      <c r="M149" t="n">
        <v>113</v>
      </c>
      <c r="N149" t="n">
        <v>129</v>
      </c>
      <c r="O149" t="n">
        <v>122</v>
      </c>
      <c r="P149" t="n">
        <v>118</v>
      </c>
      <c r="Q149" t="n">
        <v>132</v>
      </c>
      <c r="R149" t="n">
        <v>126</v>
      </c>
      <c r="S149" t="n">
        <v>122</v>
      </c>
      <c r="T149" t="n">
        <v>134</v>
      </c>
      <c r="U149" t="n">
        <v>122</v>
      </c>
      <c r="V149" t="n">
        <v>0</v>
      </c>
      <c r="W149" t="n">
        <v>51</v>
      </c>
      <c r="X149" t="n">
        <v>18</v>
      </c>
      <c r="Y149" t="n">
        <v>0</v>
      </c>
      <c r="Z149" t="n">
        <v>45</v>
      </c>
      <c r="AA149" t="n">
        <v>19</v>
      </c>
      <c r="AB149" t="n">
        <v>2</v>
      </c>
      <c r="AC149" t="n">
        <v>72</v>
      </c>
      <c r="AD149" t="n">
        <v>49</v>
      </c>
      <c r="AE149" t="n">
        <v>120</v>
      </c>
      <c r="AF149" t="n">
        <v>133</v>
      </c>
      <c r="AG149" t="n">
        <v>125</v>
      </c>
      <c r="AH149" t="n">
        <v>123</v>
      </c>
      <c r="AI149" t="n">
        <v>133</v>
      </c>
      <c r="AJ149" t="n">
        <v>121</v>
      </c>
      <c r="AK149">
        <f>HYPERLINK("file:///home/hermansyah/Aplikasi%20TA/data/rgbdaun/143.png","LINK")</f>
        <v/>
      </c>
      <c r="AL149" t="n">
        <v>9</v>
      </c>
      <c r="AM149" t="n">
        <v>10</v>
      </c>
      <c r="AN149">
        <f>HYPERLINK("file:///home/hermansyah/Aplikasi%20TA/data/kelilingdaun/143_atas.png","LINK")</f>
        <v/>
      </c>
      <c r="AO149">
        <f>HYPERLINK("file:///home/hermansyah/Aplikasi%20TA/data/kelilingdaun/143_bawah.png","LINK")</f>
        <v/>
      </c>
      <c r="AP149" t="n">
        <v>0.9905539555367473</v>
      </c>
      <c r="AQ149" t="n">
        <v>0.9378230426835463</v>
      </c>
      <c r="AR149" t="n">
        <v>1.841182792265132e-06</v>
      </c>
      <c r="AS149" t="n">
        <v>2</v>
      </c>
      <c r="AT149" t="n">
        <v>3</v>
      </c>
      <c r="AU149" t="n">
        <v>1</v>
      </c>
    </row>
    <row r="150" spans="1:47">
      <c r="A150" t="n">
        <v>144</v>
      </c>
      <c r="B150" t="s">
        <v>173</v>
      </c>
      <c r="C150" t="n">
        <v>1.3</v>
      </c>
      <c r="D150" t="n">
        <v>1.9</v>
      </c>
      <c r="E150">
        <f>HYPERLINK("file:///home/hermansyah/Aplikasi%20TA/data/luasdaun/144_atas.png","LINK")</f>
        <v/>
      </c>
      <c r="F150">
        <f>HYPERLINK("file:///home/hermansyah/Aplikasi%20TA/data/luasdaun/144_bawah.png","LINK")</f>
        <v/>
      </c>
      <c r="G150" t="n">
        <v>0</v>
      </c>
      <c r="H150" t="n">
        <v>49</v>
      </c>
      <c r="I150" t="n">
        <v>17</v>
      </c>
      <c r="J150" t="n">
        <v>2</v>
      </c>
      <c r="K150" t="n">
        <v>53</v>
      </c>
      <c r="L150" t="n">
        <v>26</v>
      </c>
      <c r="M150" t="n">
        <v>114</v>
      </c>
      <c r="N150" t="n">
        <v>128</v>
      </c>
      <c r="O150" t="n">
        <v>124</v>
      </c>
      <c r="P150" t="n">
        <v>120</v>
      </c>
      <c r="Q150" t="n">
        <v>132</v>
      </c>
      <c r="R150" t="n">
        <v>126</v>
      </c>
      <c r="S150" t="n">
        <v>122</v>
      </c>
      <c r="T150" t="n">
        <v>134</v>
      </c>
      <c r="U150" t="n">
        <v>122</v>
      </c>
      <c r="V150" t="n">
        <v>0</v>
      </c>
      <c r="W150" t="n">
        <v>53</v>
      </c>
      <c r="X150" t="n">
        <v>20</v>
      </c>
      <c r="Y150" t="n">
        <v>0</v>
      </c>
      <c r="Z150" t="n">
        <v>43</v>
      </c>
      <c r="AA150" t="n">
        <v>17</v>
      </c>
      <c r="AB150" t="n">
        <v>0</v>
      </c>
      <c r="AC150" t="n">
        <v>68</v>
      </c>
      <c r="AD150" t="n">
        <v>45</v>
      </c>
      <c r="AE150" t="n">
        <v>120</v>
      </c>
      <c r="AF150" t="n">
        <v>131</v>
      </c>
      <c r="AG150" t="n">
        <v>123</v>
      </c>
      <c r="AH150" t="n">
        <v>124</v>
      </c>
      <c r="AI150" t="n">
        <v>134</v>
      </c>
      <c r="AJ150" t="n">
        <v>122</v>
      </c>
      <c r="AK150">
        <f>HYPERLINK("file:///home/hermansyah/Aplikasi%20TA/data/rgbdaun/144.png","LINK")</f>
        <v/>
      </c>
      <c r="AL150" t="n">
        <v>9</v>
      </c>
      <c r="AM150" t="n">
        <v>11</v>
      </c>
      <c r="AN150">
        <f>HYPERLINK("file:///home/hermansyah/Aplikasi%20TA/data/kelilingdaun/144_atas.png","LINK")</f>
        <v/>
      </c>
      <c r="AO150">
        <f>HYPERLINK("file:///home/hermansyah/Aplikasi%20TA/data/kelilingdaun/144_bawah.png","LINK")</f>
        <v/>
      </c>
      <c r="AP150" t="n">
        <v>0.9903664847083529</v>
      </c>
      <c r="AQ150" t="n">
        <v>0.9382762417513634</v>
      </c>
      <c r="AR150" t="n">
        <v>1.634248327299004e-06</v>
      </c>
      <c r="AS150" t="n">
        <v>2</v>
      </c>
      <c r="AT150" t="n">
        <v>3</v>
      </c>
      <c r="AU150" t="n">
        <v>1</v>
      </c>
    </row>
  </sheetData>
  <mergeCells count="15">
    <mergeCell ref="C4:F4"/>
    <mergeCell ref="G4:AK4"/>
    <mergeCell ref="AL4:AO4"/>
    <mergeCell ref="AP4:AR4"/>
    <mergeCell ref="AS4:AU4"/>
    <mergeCell ref="G5:I5"/>
    <mergeCell ref="J5:L5"/>
    <mergeCell ref="M5:O5"/>
    <mergeCell ref="P5:R5"/>
    <mergeCell ref="S5:U5"/>
    <mergeCell ref="V5:X5"/>
    <mergeCell ref="Y5:AA5"/>
    <mergeCell ref="AB5:AD5"/>
    <mergeCell ref="AE5:AG5"/>
    <mergeCell ref="AH5:AJ5"/>
  </mergeCells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1" scale="100" useFirstPageNumber="1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2017-12-02T21:07:30Z</dcterms:created>
  <dcterms:modified xmlns:dcterms="http://purl.org/dc/terms/" xmlns:xsi="http://www.w3.org/2001/XMLSchema-instance" xsi:type="dcterms:W3CDTF">2017-12-27T11:46:39Z</dcterms:modified>
  <cp:revision>19</cp:revision>
</cp:coreProperties>
</file>