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35" windowWidth="15480" windowHeight="9930" activeTab="1"/>
  </bookViews>
  <sheets>
    <sheet name="QuickBooks Export Tips" sheetId="4" r:id="rId1"/>
    <sheet name="Budget forcast" sheetId="1" r:id="rId2"/>
    <sheet name="Sheet2" sheetId="2" state="hidden" r:id="rId3"/>
    <sheet name="Sheet3" sheetId="3" state="hidden" r:id="rId4"/>
    <sheet name="Sheet5" sheetId="6" r:id="rId5"/>
  </sheets>
  <definedNames>
    <definedName name="_xlnm.Print_Titles" localSheetId="1">'Budget forcast'!$A:$F,'Budget forcast'!$9:$9</definedName>
  </definedNames>
  <calcPr calcId="125725" fullCalcOnLoad="1"/>
</workbook>
</file>

<file path=xl/calcChain.xml><?xml version="1.0" encoding="utf-8"?>
<calcChain xmlns="http://schemas.openxmlformats.org/spreadsheetml/2006/main">
  <c r="M226" i="1"/>
  <c r="N193"/>
  <c r="N196"/>
  <c r="N205"/>
  <c r="N207"/>
  <c r="O205"/>
  <c r="O207"/>
  <c r="M177"/>
  <c r="L170"/>
  <c r="L164"/>
  <c r="L159"/>
  <c r="L228"/>
  <c r="N270"/>
  <c r="N225"/>
  <c r="O196"/>
  <c r="O190"/>
  <c r="O201"/>
  <c r="L207"/>
  <c r="M207"/>
  <c r="L201"/>
  <c r="M201"/>
  <c r="N201"/>
  <c r="L196"/>
  <c r="M196"/>
  <c r="N190"/>
  <c r="M190"/>
  <c r="K190"/>
  <c r="J190"/>
  <c r="I190"/>
  <c r="H190"/>
  <c r="G190"/>
  <c r="L190"/>
  <c r="N241"/>
  <c r="N228"/>
  <c r="N40"/>
  <c r="N259"/>
  <c r="N269"/>
  <c r="M259"/>
  <c r="M269"/>
  <c r="L259"/>
  <c r="L269"/>
  <c r="L271"/>
  <c r="M241"/>
  <c r="M228"/>
  <c r="L241"/>
  <c r="L27"/>
  <c r="N182"/>
  <c r="N183"/>
  <c r="N170"/>
  <c r="N164"/>
  <c r="N159"/>
  <c r="N148"/>
  <c r="N139"/>
  <c r="N127"/>
  <c r="N112"/>
  <c r="N118"/>
  <c r="N95"/>
  <c r="N87"/>
  <c r="N81"/>
  <c r="N73"/>
  <c r="N69"/>
  <c r="N46"/>
  <c r="N27"/>
  <c r="M95"/>
  <c r="M69"/>
  <c r="M73"/>
  <c r="M81"/>
  <c r="M87"/>
  <c r="M112"/>
  <c r="M118"/>
  <c r="M127"/>
  <c r="M152"/>
  <c r="M139"/>
  <c r="M148"/>
  <c r="M159"/>
  <c r="M164"/>
  <c r="M170"/>
  <c r="M182"/>
  <c r="L112"/>
  <c r="L118"/>
  <c r="G69"/>
  <c r="G73"/>
  <c r="G81"/>
  <c r="G87"/>
  <c r="G95"/>
  <c r="H69"/>
  <c r="H73"/>
  <c r="H81"/>
  <c r="H87"/>
  <c r="H95"/>
  <c r="I69"/>
  <c r="I73"/>
  <c r="I81"/>
  <c r="I87"/>
  <c r="I95"/>
  <c r="J69"/>
  <c r="J73"/>
  <c r="J81"/>
  <c r="J87"/>
  <c r="J95"/>
  <c r="K69"/>
  <c r="K73"/>
  <c r="K81"/>
  <c r="K87"/>
  <c r="K95"/>
  <c r="L69"/>
  <c r="L73"/>
  <c r="L81"/>
  <c r="L87"/>
  <c r="L95"/>
  <c r="M27"/>
  <c r="M40"/>
  <c r="M46"/>
  <c r="L40"/>
  <c r="L46"/>
  <c r="L139"/>
  <c r="L152"/>
  <c r="L148"/>
  <c r="H40"/>
  <c r="I40"/>
  <c r="J40"/>
  <c r="K40"/>
  <c r="G40"/>
  <c r="L182"/>
  <c r="L183"/>
  <c r="J112"/>
  <c r="J118"/>
  <c r="J139"/>
  <c r="J148"/>
  <c r="J164"/>
  <c r="J170"/>
  <c r="J182"/>
  <c r="J183"/>
  <c r="G46"/>
  <c r="H46"/>
  <c r="H27"/>
  <c r="I46"/>
  <c r="I27"/>
  <c r="J46"/>
  <c r="K46"/>
  <c r="K27"/>
  <c r="G27"/>
  <c r="J27"/>
  <c r="G112"/>
  <c r="G118"/>
  <c r="G139"/>
  <c r="G148"/>
  <c r="G164"/>
  <c r="G170"/>
  <c r="G182"/>
  <c r="G183"/>
  <c r="H112"/>
  <c r="H118"/>
  <c r="H139"/>
  <c r="H148"/>
  <c r="H164"/>
  <c r="H170"/>
  <c r="H173"/>
  <c r="H182"/>
  <c r="H183"/>
  <c r="I112"/>
  <c r="I118"/>
  <c r="I139"/>
  <c r="I148"/>
  <c r="I164"/>
  <c r="I173"/>
  <c r="I170"/>
  <c r="I182"/>
  <c r="I183"/>
  <c r="K112"/>
  <c r="K118"/>
  <c r="K139"/>
  <c r="K148"/>
  <c r="K164"/>
  <c r="K173"/>
  <c r="K170"/>
  <c r="K182"/>
  <c r="K183"/>
  <c r="K47"/>
  <c r="K48"/>
  <c r="K152"/>
  <c r="J103"/>
  <c r="M103"/>
  <c r="M185"/>
  <c r="N271"/>
  <c r="N224"/>
  <c r="N226"/>
  <c r="N227"/>
  <c r="N4"/>
  <c r="N152"/>
  <c r="N208"/>
  <c r="H152"/>
  <c r="O208"/>
  <c r="P208"/>
  <c r="G173"/>
  <c r="H47"/>
  <c r="H48"/>
  <c r="J173"/>
  <c r="M4"/>
  <c r="J152"/>
  <c r="J185"/>
  <c r="K103"/>
  <c r="H103"/>
  <c r="M183"/>
  <c r="N103"/>
  <c r="M208"/>
  <c r="G47"/>
  <c r="G48"/>
  <c r="I152"/>
  <c r="G152"/>
  <c r="I47"/>
  <c r="I48"/>
  <c r="L47"/>
  <c r="L4"/>
  <c r="I103"/>
  <c r="I185"/>
  <c r="J47"/>
  <c r="J48"/>
  <c r="G103"/>
  <c r="G185"/>
  <c r="M173"/>
  <c r="N173"/>
  <c r="L173"/>
  <c r="K185"/>
  <c r="H185"/>
  <c r="M271"/>
  <c r="M224"/>
  <c r="M47"/>
  <c r="M48"/>
  <c r="L103"/>
  <c r="L208"/>
  <c r="N185"/>
  <c r="N5"/>
  <c r="N6"/>
  <c r="L185"/>
  <c r="L48"/>
  <c r="M209"/>
  <c r="M5"/>
  <c r="M6"/>
  <c r="M7"/>
  <c r="L209"/>
  <c r="L5"/>
  <c r="L6"/>
  <c r="L7"/>
  <c r="N209"/>
  <c r="N7"/>
  <c r="N12"/>
  <c r="N47"/>
  <c r="N48"/>
  <c r="O6"/>
</calcChain>
</file>

<file path=xl/sharedStrings.xml><?xml version="1.0" encoding="utf-8"?>
<sst xmlns="http://schemas.openxmlformats.org/spreadsheetml/2006/main" count="323" uniqueCount="285">
  <si>
    <t>Oct '10 - Sep 11</t>
  </si>
  <si>
    <t>Ordinary Income/Expense</t>
  </si>
  <si>
    <t>Income</t>
  </si>
  <si>
    <t>Assessments</t>
  </si>
  <si>
    <t>Ferry Fees</t>
  </si>
  <si>
    <t>Interest Earned</t>
  </si>
  <si>
    <t>HMC Management Reserves</t>
  </si>
  <si>
    <t>General Fund</t>
  </si>
  <si>
    <t>Interest Earned - Other</t>
  </si>
  <si>
    <t>Total Interest Earned</t>
  </si>
  <si>
    <t>Other Income</t>
  </si>
  <si>
    <t>Beachcomber Ads</t>
  </si>
  <si>
    <t>Miscellaneous</t>
  </si>
  <si>
    <t>Refund of Fees from Intuit/QB</t>
  </si>
  <si>
    <t>Nsf Fees</t>
  </si>
  <si>
    <t>Postage</t>
  </si>
  <si>
    <t>Property Transfer fee</t>
  </si>
  <si>
    <t>Rules Fine</t>
  </si>
  <si>
    <t>Water Hook Up fee</t>
  </si>
  <si>
    <t>Total Other Income</t>
  </si>
  <si>
    <t>Total Income</t>
  </si>
  <si>
    <t>Expense</t>
  </si>
  <si>
    <t>Bad Debt Write Off</t>
  </si>
  <si>
    <t>Bank Fees</t>
  </si>
  <si>
    <t>Amount of Check that was returned for NSF</t>
  </si>
  <si>
    <t>Community Asso. Institute</t>
  </si>
  <si>
    <t>Contract Svcs for Junk Removal</t>
  </si>
  <si>
    <t>Emergency Preparedness</t>
  </si>
  <si>
    <t>State and County Taxes</t>
  </si>
  <si>
    <t>HMC Property Pre-Sale Expense</t>
  </si>
  <si>
    <t>Removal of unsafe trees</t>
  </si>
  <si>
    <t>Insurance</t>
  </si>
  <si>
    <t>Directors/Officers Ins</t>
  </si>
  <si>
    <t>Total Insurance</t>
  </si>
  <si>
    <t>General</t>
  </si>
  <si>
    <t>Total Legal Fees</t>
  </si>
  <si>
    <t>Office Equipment</t>
  </si>
  <si>
    <t>Other</t>
  </si>
  <si>
    <t>CrystalTech-Web hosting</t>
  </si>
  <si>
    <t>Total Other</t>
  </si>
  <si>
    <t>Payroll Expenses</t>
  </si>
  <si>
    <t>Box Fee</t>
  </si>
  <si>
    <t>Stamps &amp; Postage</t>
  </si>
  <si>
    <t>Total Postage</t>
  </si>
  <si>
    <t>Printing</t>
  </si>
  <si>
    <t>Admin Salaries</t>
  </si>
  <si>
    <t>Aflac</t>
  </si>
  <si>
    <t>Medical Insurance</t>
  </si>
  <si>
    <t>Retirement</t>
  </si>
  <si>
    <t>Payroll Taxes</t>
  </si>
  <si>
    <t>Gross Wages</t>
  </si>
  <si>
    <t>Total Admin Salaries</t>
  </si>
  <si>
    <t>Island Security Costs</t>
  </si>
  <si>
    <t>Office Supplies</t>
  </si>
  <si>
    <t>Telephone/Fax</t>
  </si>
  <si>
    <t>Utilities/Electric</t>
  </si>
  <si>
    <t>Annual DNR Lease</t>
  </si>
  <si>
    <t>Parts and Supplies</t>
  </si>
  <si>
    <t>Repairs/Maintenance</t>
  </si>
  <si>
    <t>Sanikans</t>
  </si>
  <si>
    <t>Utilities</t>
  </si>
  <si>
    <t>Ferry</t>
  </si>
  <si>
    <t>Engine Overhaul</t>
  </si>
  <si>
    <t>Equipment</t>
  </si>
  <si>
    <t>Fuel</t>
  </si>
  <si>
    <t>Cellphone</t>
  </si>
  <si>
    <t>Drug Testing</t>
  </si>
  <si>
    <t>Inspections and Licensing</t>
  </si>
  <si>
    <t>Tickets &amp; Passes &amp; Stickers</t>
  </si>
  <si>
    <t>Uniforms</t>
  </si>
  <si>
    <t>Passenger Vessel Asso.</t>
  </si>
  <si>
    <t>Ferry Salaries &amp; Benefits</t>
  </si>
  <si>
    <t>Retirement-Employer</t>
  </si>
  <si>
    <t>Total Ferry Salaries &amp; Benefits</t>
  </si>
  <si>
    <t>Personal Property &amp; Excise</t>
  </si>
  <si>
    <t>Total Ferry</t>
  </si>
  <si>
    <t>Parks</t>
  </si>
  <si>
    <t>Maintenance</t>
  </si>
  <si>
    <t>Garbage Pick Up</t>
  </si>
  <si>
    <t>Parks Development</t>
  </si>
  <si>
    <t>Playground Improvement</t>
  </si>
  <si>
    <t>Maint &amp; Improvements</t>
  </si>
  <si>
    <t>Total Small Boat Dock</t>
  </si>
  <si>
    <t>Supplies &amp; Equipment Repairs</t>
  </si>
  <si>
    <t>Total Parks</t>
  </si>
  <si>
    <t>Dust Control Truck</t>
  </si>
  <si>
    <t>Salaries</t>
  </si>
  <si>
    <t>Payroll taxes</t>
  </si>
  <si>
    <t>Total Salaries</t>
  </si>
  <si>
    <t>Total Roads</t>
  </si>
  <si>
    <t>Water</t>
  </si>
  <si>
    <t>Education and Training</t>
  </si>
  <si>
    <t>Excise Tax</t>
  </si>
  <si>
    <t>Total Expense</t>
  </si>
  <si>
    <t>Instructions for Exporting QuickBooks data</t>
  </si>
  <si>
    <t>Where did my worksheet go?</t>
  </si>
  <si>
    <t>When you export data to a new workbook, your new worksheet containing exported data goes to Sheet 1. When you export to an existing workbook,</t>
  </si>
  <si>
    <t>the new worksheet is placed in front of the last active sheet where it will be named "SheetX" using the next available number in the series.</t>
  </si>
  <si>
    <t>How do I make sure this tips sheet isn't exported with the QuickBooks report in the final workbook?</t>
  </si>
  <si>
    <t>Before exporting, on the Export Report Basic tab, deselect the option to include the instruction worksheet.</t>
  </si>
  <si>
    <t>How can I customize and update my worksheet?</t>
  </si>
  <si>
    <t>You can set up Excel links between 2 or more worksheets.  (See Microsoft Excel Help for details about linking in Excel.) You can use this</t>
  </si>
  <si>
    <t>feature to setup links between a QuickBooks summary report and your customized sheet.</t>
  </si>
  <si>
    <t>&gt;&gt; Choose one sheet as your source worksheet into which you'll export QuickBooks data. Then create another worksheet where you can</t>
  </si>
  <si>
    <t>customize your data and link the data between that sheet and the source worksheet.</t>
  </si>
  <si>
    <t>&gt;&gt; Export your source data to an existing worksheet and overwrite the current data so that the new data is used by any Excel links and formulas.</t>
  </si>
  <si>
    <t>&gt;&gt; Create Excel links between a QuickBooks data worksheet and another worksheet in the workbook.</t>
  </si>
  <si>
    <t>Troubleshooting: Why don't my links work correctly after exporting data?</t>
  </si>
  <si>
    <t>Be aware that any difference in the structure of the current report from the report that you used when setting up links, can cause mismatch</t>
  </si>
  <si>
    <t>in the links between worksheets. If you are seeing wrong data in your customized worksheet, then you may have:</t>
  </si>
  <si>
    <t>&gt;&gt; Moved or deleted elements, or changed the structure of the report in some way?  For example:</t>
  </si>
  <si>
    <t>You might have moved or deleted items from item list which gets used in a report like Inventory Valuation report.</t>
  </si>
  <si>
    <t>You might have moved or deleted accounts from accounts list which gets used in a report like Profit and Loss standard report.</t>
  </si>
  <si>
    <t>&gt;&gt; You are using a report related to accounts and have account(s) with no activity associated and did not choose to display "All rows".</t>
  </si>
  <si>
    <t>TIP: Choose display All rows (available for most of the reports), Select Modify report-&gt;Display-&gt;Advanced-&gt;Display Rows-&gt;All rows</t>
  </si>
  <si>
    <t>&gt;&gt; Deleted exported data sheet which serves as data source.</t>
  </si>
  <si>
    <t>Oct '09 - Sep 10</t>
  </si>
  <si>
    <t>Oct '07 - Sep 8</t>
  </si>
  <si>
    <t>Oct '08 - Sep 9</t>
  </si>
  <si>
    <t>Oct '06 - Sep 7</t>
  </si>
  <si>
    <t>Reserve Transfer</t>
  </si>
  <si>
    <t>Total Ferry Docks and Ramps</t>
  </si>
  <si>
    <t>Lawn Equipment</t>
  </si>
  <si>
    <t>Handling Fee</t>
  </si>
  <si>
    <t>HIWU Interest</t>
  </si>
  <si>
    <t>NSF FEE</t>
  </si>
  <si>
    <t>Accountant/Auditor</t>
  </si>
  <si>
    <t>Bad Check</t>
  </si>
  <si>
    <t>Legal</t>
  </si>
  <si>
    <t>Mailings</t>
  </si>
  <si>
    <t>Membership Fees</t>
  </si>
  <si>
    <t>Mileage Reimbursement</t>
  </si>
  <si>
    <t>Other Expenses</t>
  </si>
  <si>
    <t>Permits &amp; License</t>
  </si>
  <si>
    <t>Water Samples</t>
  </si>
  <si>
    <t>Total Other Expenses</t>
  </si>
  <si>
    <t>Pension</t>
  </si>
  <si>
    <t>Taxes</t>
  </si>
  <si>
    <t>Background Checks</t>
  </si>
  <si>
    <t>Legal Fees - IBU Attorney</t>
  </si>
  <si>
    <t>Ship Yard</t>
  </si>
  <si>
    <t>Supplies, Paper Products, Water</t>
  </si>
  <si>
    <t>Assessable Units</t>
  </si>
  <si>
    <t>Units minus delinquents</t>
  </si>
  <si>
    <t>Road Reserves</t>
  </si>
  <si>
    <t>Dock Piles and Dolphins</t>
  </si>
  <si>
    <t>Ramp Inspections - every 2 years</t>
  </si>
  <si>
    <t>Ramp Painting</t>
  </si>
  <si>
    <t>Community Building Renovations</t>
  </si>
  <si>
    <t>Ferry Replacement</t>
  </si>
  <si>
    <t>Water Truck Replacement</t>
  </si>
  <si>
    <t>Park Reserves</t>
  </si>
  <si>
    <t xml:space="preserve">Total Reserve Transfer </t>
  </si>
  <si>
    <t>Total Income minus Assessments</t>
  </si>
  <si>
    <t>Assessment per member</t>
  </si>
  <si>
    <t>Total Assessments</t>
  </si>
  <si>
    <t>Collection Costs</t>
  </si>
  <si>
    <t>Other/Inspection</t>
  </si>
  <si>
    <t>Routine Maintenance &amp; Supplies</t>
  </si>
  <si>
    <t>Pension Administration Ferry Crew</t>
  </si>
  <si>
    <t>Miscellaneous &amp; copier contract</t>
  </si>
  <si>
    <t>Piles, Dolphins and Ferry Ramps</t>
  </si>
  <si>
    <t>Small Boat Dock Floats</t>
  </si>
  <si>
    <t>Research Office Time Fees</t>
  </si>
  <si>
    <t>Interest &amp; Handling (Delinquent Accounts)</t>
  </si>
  <si>
    <t>Shipyard (2 Years on even years)</t>
  </si>
  <si>
    <t>Ferry Engine Overhaul/replacement (3 years, next 2013)</t>
  </si>
  <si>
    <t>Community Building Maintenance</t>
  </si>
  <si>
    <t>Parks Shed (lawn shed)</t>
  </si>
  <si>
    <t>Sheds (waiting, oil and school)</t>
  </si>
  <si>
    <t>Auto Insurance (water truck)</t>
  </si>
  <si>
    <t>Roads (ferry island/mainland lots)</t>
  </si>
  <si>
    <t>Pavilion Building and NB parking</t>
  </si>
  <si>
    <t>Marine Package</t>
  </si>
  <si>
    <t>Commercial Package</t>
  </si>
  <si>
    <t>5 Million Excess Liability</t>
  </si>
  <si>
    <t xml:space="preserve">14 Million Excess Liability </t>
  </si>
  <si>
    <t>Crime (Break-ins and Theft)</t>
  </si>
  <si>
    <t>Reserve - Legal (Cap is $35,000 - Balance is $34,550)</t>
  </si>
  <si>
    <t>Rentals for fill in Captains/Deck Hands</t>
  </si>
  <si>
    <t xml:space="preserve">Reserve Analysis </t>
  </si>
  <si>
    <t>Water Usage</t>
  </si>
  <si>
    <t>Wages - Administrative and Meter Reading</t>
  </si>
  <si>
    <t>Note 1: Ferry goes into dry dock every two years on the even year</t>
  </si>
  <si>
    <t>Oct '11 - Sep 12</t>
  </si>
  <si>
    <t>Oct '12 - Sep 13</t>
  </si>
  <si>
    <t>Gross Income</t>
  </si>
  <si>
    <t>Total Maintenance</t>
  </si>
  <si>
    <t>Repairs - Parts</t>
  </si>
  <si>
    <t>Supplies &amp; Repairs - Contractors</t>
  </si>
  <si>
    <t>Credit Card Fees - Member Payments</t>
  </si>
  <si>
    <t>Member Credit Card Fees</t>
  </si>
  <si>
    <t>Garbage - Ferry</t>
  </si>
  <si>
    <t>Repairs</t>
  </si>
  <si>
    <t>Employee Paid Supplemental Insurance - Reimbursed by Employee</t>
  </si>
  <si>
    <t>Removal and Installation Equipment Rental - $1,000 for each rental of equipment</t>
  </si>
  <si>
    <t>General upkeep including park parking</t>
  </si>
  <si>
    <t>HMC WATER</t>
  </si>
  <si>
    <t>Note 3: Repayment of HMC funds from Water Project Expenses - 50% goes to new engines, 30% for ramp repainting reserves and 20% for dolphins reserves.</t>
  </si>
  <si>
    <t>Note 5: Repayment of HMC funds from the Water Project Expenses plus budgeted reserve contributions will meet the 10% reserve requirement for this budget cycle.</t>
  </si>
  <si>
    <t>HMC Regular Operations</t>
  </si>
  <si>
    <t>Total HMC Regular Operations</t>
  </si>
  <si>
    <t>Renter's Fees, Copy, Fax and Notary</t>
  </si>
  <si>
    <t>Oct '13 - Sep 14</t>
  </si>
  <si>
    <t>Water Availability Letter</t>
  </si>
  <si>
    <t>Oct 13 - Sep 14</t>
  </si>
  <si>
    <t xml:space="preserve">Ramp Painting (Cap is $212,000 - Balance is $19,000) </t>
  </si>
  <si>
    <t>Note 8: Dividend Reserve is interest earned.  This reserve is an emergency cash reserve.  Balance is $6,241.12</t>
  </si>
  <si>
    <t>Note 9: Special assessment of $425.00 will be needed for ramp painting this FY.</t>
  </si>
  <si>
    <t xml:space="preserve">Base Fees </t>
  </si>
  <si>
    <t>Mileage</t>
  </si>
  <si>
    <t>Ferry Ramp Generator Maintenance and Fuel</t>
  </si>
  <si>
    <t>Misc.</t>
  </si>
  <si>
    <t>USDA Water Special Assessment</t>
  </si>
  <si>
    <t>Assessable Connections</t>
  </si>
  <si>
    <t>Base Fee per Connection</t>
  </si>
  <si>
    <t xml:space="preserve">Reserve Fee per Connection </t>
  </si>
  <si>
    <t>Assessment per Connection - Annual</t>
  </si>
  <si>
    <t>Assessment per Connection - Monthly</t>
  </si>
  <si>
    <t>Total Assessments - All Connections</t>
  </si>
  <si>
    <t>Connections minus delinquents</t>
  </si>
  <si>
    <t>Facilities and Grounds Maintenance</t>
  </si>
  <si>
    <t>Road Maintenance (Contract Costs)</t>
  </si>
  <si>
    <t>Vessel Pollution Liability</t>
  </si>
  <si>
    <t>HMC REGULAR OPERATIONS AREA</t>
  </si>
  <si>
    <t>Total HMC Regular Operations Reserve Fund Budget</t>
  </si>
  <si>
    <t>PILES, DOLPHINS AND FERRY RAMPS</t>
  </si>
  <si>
    <t>Total Piles, Dolphins and Ferry Ramps Reserve Fund Budget</t>
  </si>
  <si>
    <t>FERRY</t>
  </si>
  <si>
    <t>Total Ferry Reserve Fund Budget</t>
  </si>
  <si>
    <t>PARKS</t>
  </si>
  <si>
    <t>ROADS (FERRY ISLAND/MAINLAND LOTS)</t>
  </si>
  <si>
    <t>Total Roads Reserve Fund Budget</t>
  </si>
  <si>
    <t>TOTAL RESERVE FUND BUDGET</t>
  </si>
  <si>
    <t>Total Expenses and Reserves</t>
  </si>
  <si>
    <t>TOTAL EXPENSES AND RESERVES</t>
  </si>
  <si>
    <t>Reserve - Shipyard (Cap is $95,000 - Balance is $46,000) Note 1</t>
  </si>
  <si>
    <t>Reserve - Engine Overhaul/Replacement (Cap is $200,000 - Balance is $0) Note 2</t>
  </si>
  <si>
    <t>DELETE THIS - NOT VALID FOR THIS BUDGET</t>
  </si>
  <si>
    <t>RESERVE FUND BUDGET Note 3</t>
  </si>
  <si>
    <t xml:space="preserve">Note 3: Reserve accounts are recommended to total 10% of operating budget for HOA's.  Refer to Annual Reserve Fund Budget Disclosure. </t>
  </si>
  <si>
    <t>Note 4: Insurance was broken down per actual policy and allocated to appropriate departments for the 2013-2014 budget cycle.</t>
  </si>
  <si>
    <t>Insurance (see Note 4)</t>
  </si>
  <si>
    <t>Insurance (see note 4)</t>
  </si>
  <si>
    <t>Attorney Collections (see note 5)</t>
  </si>
  <si>
    <t>Legal Fees (see note 5)</t>
  </si>
  <si>
    <t xml:space="preserve">Note 5: Legal fee expense is partially off set by legal fee income.  This allows for accounting requirements.  </t>
  </si>
  <si>
    <t>Insurance - Docks and Piers (see note 4)</t>
  </si>
  <si>
    <t xml:space="preserve">Tansy </t>
  </si>
  <si>
    <t>Road &amp; Ditch Materials &amp; Supplies</t>
  </si>
  <si>
    <t>Reserves - Water Truck (Cap is $30,000 - Balance is $500.00)</t>
  </si>
  <si>
    <t xml:space="preserve">Dock Piles and Ferry Dolphins (Cap is $768,000 - Balance is $108,478) </t>
  </si>
  <si>
    <t xml:space="preserve">Reserve - Community Building &amp; Sheds and Septic (Cap is $20,000 - Balance is $1,000) </t>
  </si>
  <si>
    <t>Reserve - Ferry Replacement (Cap is 1,000,000 - Balance is $1,000)</t>
  </si>
  <si>
    <t>Reserve - Inspection of Ramps (Cap is $12,000 - Balance is $6,000.00) Required by Pierce County.</t>
  </si>
  <si>
    <t>Reserve Balances after 2nd half reserves funded</t>
  </si>
  <si>
    <t>Rounded up from $4,558</t>
  </si>
  <si>
    <t>Removed $600 as supplies purchased will be turned in and put against Road &amp; Ditch Materials/Supplies'</t>
  </si>
  <si>
    <t>Remove $108 no salaries anymore</t>
  </si>
  <si>
    <t>Total Expense and Reserve</t>
  </si>
  <si>
    <t>To Water Reserve (Cap is $1,800,000.00 - Balance is $110,123)</t>
  </si>
  <si>
    <t xml:space="preserve">Reserves </t>
  </si>
  <si>
    <t>Actual</t>
  </si>
  <si>
    <t>Increase</t>
  </si>
  <si>
    <t>Added the Road &amp; Ditch Labor to this line so that prior years reflect OK</t>
  </si>
  <si>
    <t>Added the Parks Salaries to here since it was moved for Proposed budget and to keep prior years totals accurate</t>
  </si>
  <si>
    <t>Changed to reflect total amount to be taken from reserves for presentation to proposed budget</t>
  </si>
  <si>
    <t>Expense will show in next budget.  Current budget not changed but shows the estimated cost of shipyard</t>
  </si>
  <si>
    <t>For comparison and how this is actually be handled, current budget $46K is being transferred to reserves.  See the Income of $92K coming from Reserves to offset the $92K in Shipyard expense.</t>
  </si>
  <si>
    <t xml:space="preserve">Reserve - Ramp Cable Replacement (Cap is $25,000 - Balance is $5,000.00) Recurring 5 year expense cycle previously not budgeted. </t>
  </si>
  <si>
    <t>Cable Replacement</t>
  </si>
  <si>
    <t>Ramp Cable Replacement - every 5 years</t>
  </si>
  <si>
    <t xml:space="preserve">Contract Manager </t>
  </si>
  <si>
    <t>Verified actual and added 8%</t>
  </si>
  <si>
    <t>Carry Forward</t>
  </si>
  <si>
    <t>Note 2: New engines and transmissions will be completed in Sept 2013 which will deplete the reserves.  Next yard service estimated in 2016.</t>
  </si>
  <si>
    <t>Bank Fee</t>
  </si>
  <si>
    <t>Current
Budget</t>
  </si>
  <si>
    <t>Proposed
Budget</t>
  </si>
  <si>
    <t>Reserves - Parks (Cap is $36,000 - Balance is $30,700) For new basketball court and riding mower Note 6</t>
  </si>
  <si>
    <t>Reserves - Roads General (Cap is $50,000 - Balance is $35,240) Note 7</t>
  </si>
  <si>
    <t xml:space="preserve">Note 7: It is expected most of the Roads Reserve will be utilitized in the 2012/2013 FY for puchase of rock.  </t>
  </si>
  <si>
    <t>Note 6: The Parks Reserve will be reduced by actual cost of the Basketball Court once that project has been completed.</t>
  </si>
  <si>
    <r>
      <rPr>
        <b/>
        <u/>
        <sz val="8"/>
        <color indexed="8"/>
        <rFont val="Arial"/>
        <family val="2"/>
      </rPr>
      <t>General note:</t>
    </r>
    <r>
      <rPr>
        <b/>
        <sz val="8"/>
        <color indexed="8"/>
        <rFont val="Arial"/>
        <family val="2"/>
      </rPr>
      <t xml:space="preserve"> This budget was generated based on analysis of the last five years of actually expenses.  This budget follows the accounting requirements and format used by HMC.</t>
    </r>
  </si>
  <si>
    <t>equal premium plus 3%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</si>
</sst>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#,##0.00;\-#,##0.00"/>
    <numFmt numFmtId="171" formatCode="_(* #,##0_);_(* \(#,##0\);_(* &quot;-&quot;??_);_(@_)"/>
    <numFmt numFmtId="175" formatCode="#,##0;\-#,##0"/>
  </numFmts>
  <fonts count="20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i/>
      <sz val="10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0"/>
      <color indexed="8"/>
      <name val="Arial"/>
      <family val="2"/>
    </font>
    <font>
      <b/>
      <sz val="8"/>
      <color indexed="10"/>
      <name val="Arial"/>
      <family val="2"/>
    </font>
    <font>
      <sz val="8"/>
      <name val="Arial"/>
      <family val="2"/>
    </font>
    <font>
      <b/>
      <sz val="8"/>
      <color indexed="8"/>
      <name val="Arial"/>
      <family val="2"/>
    </font>
    <font>
      <b/>
      <sz val="22"/>
      <color indexed="8"/>
      <name val="Arial"/>
      <family val="2"/>
    </font>
    <font>
      <b/>
      <i/>
      <sz val="8"/>
      <color indexed="8"/>
      <name val="Arial"/>
      <family val="2"/>
    </font>
    <font>
      <sz val="8"/>
      <color indexed="10"/>
      <name val="Arial"/>
      <family val="2"/>
    </font>
    <font>
      <b/>
      <u/>
      <sz val="8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8" fillId="0" borderId="0"/>
    <xf numFmtId="0" fontId="8" fillId="0" borderId="0"/>
  </cellStyleXfs>
  <cellXfs count="151">
    <xf numFmtId="0" fontId="0" fillId="0" borderId="0" xfId="0"/>
    <xf numFmtId="49" fontId="3" fillId="0" borderId="0" xfId="0" applyNumberFormat="1" applyFont="1"/>
    <xf numFmtId="49" fontId="0" fillId="0" borderId="1" xfId="0" applyNumberFormat="1" applyBorder="1" applyAlignment="1">
      <alignment horizontal="centerContinuous"/>
    </xf>
    <xf numFmtId="164" fontId="4" fillId="0" borderId="0" xfId="0" applyNumberFormat="1" applyFont="1"/>
    <xf numFmtId="164" fontId="4" fillId="0" borderId="2" xfId="0" applyNumberFormat="1" applyFont="1" applyBorder="1"/>
    <xf numFmtId="0" fontId="2" fillId="0" borderId="0" xfId="0" applyFont="1"/>
    <xf numFmtId="49" fontId="3" fillId="0" borderId="0" xfId="0" applyNumberFormat="1" applyFont="1" applyAlignment="1">
      <alignment horizontal="center"/>
    </xf>
    <xf numFmtId="49" fontId="3" fillId="0" borderId="3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NumberFormat="1" applyFont="1"/>
    <xf numFmtId="0" fontId="0" fillId="0" borderId="0" xfId="0" applyNumberFormat="1"/>
    <xf numFmtId="0" fontId="5" fillId="0" borderId="0" xfId="0" applyFont="1"/>
    <xf numFmtId="0" fontId="6" fillId="0" borderId="0" xfId="0" applyNumberFormat="1" applyFont="1"/>
    <xf numFmtId="164" fontId="4" fillId="2" borderId="0" xfId="0" applyNumberFormat="1" applyFont="1" applyFill="1"/>
    <xf numFmtId="164" fontId="4" fillId="2" borderId="4" xfId="0" applyNumberFormat="1" applyFont="1" applyFill="1" applyBorder="1"/>
    <xf numFmtId="164" fontId="4" fillId="0" borderId="0" xfId="0" applyNumberFormat="1" applyFont="1" applyBorder="1"/>
    <xf numFmtId="164" fontId="4" fillId="0" borderId="0" xfId="0" applyNumberFormat="1" applyFont="1" applyFill="1"/>
    <xf numFmtId="0" fontId="0" fillId="0" borderId="0" xfId="0" applyFill="1"/>
    <xf numFmtId="49" fontId="3" fillId="0" borderId="0" xfId="0" applyNumberFormat="1" applyFont="1" applyAlignment="1">
      <alignment horizontal="left"/>
    </xf>
    <xf numFmtId="164" fontId="4" fillId="2" borderId="0" xfId="0" applyNumberFormat="1" applyFont="1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49" fontId="13" fillId="0" borderId="0" xfId="0" applyNumberFormat="1" applyFont="1"/>
    <xf numFmtId="0" fontId="10" fillId="0" borderId="0" xfId="0" applyFont="1"/>
    <xf numFmtId="0" fontId="11" fillId="0" borderId="0" xfId="0" applyFont="1"/>
    <xf numFmtId="0" fontId="8" fillId="0" borderId="0" xfId="0" applyFont="1" applyBorder="1"/>
    <xf numFmtId="164" fontId="4" fillId="3" borderId="0" xfId="0" applyNumberFormat="1" applyFont="1" applyFill="1"/>
    <xf numFmtId="0" fontId="8" fillId="0" borderId="0" xfId="0" applyFont="1" applyBorder="1" applyAlignment="1">
      <alignment horizontal="left"/>
    </xf>
    <xf numFmtId="0" fontId="12" fillId="0" borderId="0" xfId="0" applyNumberFormat="1" applyFont="1"/>
    <xf numFmtId="3" fontId="0" fillId="0" borderId="0" xfId="0" applyNumberFormat="1" applyFill="1"/>
    <xf numFmtId="0" fontId="3" fillId="0" borderId="0" xfId="0" applyNumberFormat="1" applyFont="1" applyFill="1"/>
    <xf numFmtId="0" fontId="0" fillId="0" borderId="0" xfId="0" applyNumberFormat="1" applyFill="1"/>
    <xf numFmtId="49" fontId="3" fillId="0" borderId="0" xfId="0" applyNumberFormat="1" applyFont="1" applyFill="1"/>
    <xf numFmtId="4" fontId="6" fillId="0" borderId="0" xfId="0" applyNumberFormat="1" applyFont="1" applyFill="1" applyAlignment="1">
      <alignment horizontal="right"/>
    </xf>
    <xf numFmtId="164" fontId="4" fillId="0" borderId="0" xfId="0" applyNumberFormat="1" applyFont="1" applyFill="1" applyBorder="1"/>
    <xf numFmtId="4" fontId="6" fillId="0" borderId="0" xfId="0" applyNumberFormat="1" applyFont="1" applyFill="1" applyBorder="1" applyAlignment="1">
      <alignment horizontal="right"/>
    </xf>
    <xf numFmtId="3" fontId="0" fillId="0" borderId="0" xfId="0" applyNumberFormat="1" applyFill="1" applyBorder="1"/>
    <xf numFmtId="0" fontId="0" fillId="0" borderId="0" xfId="0" applyFill="1" applyBorder="1"/>
    <xf numFmtId="0" fontId="3" fillId="0" borderId="0" xfId="0" applyNumberFormat="1" applyFont="1" applyFill="1" applyBorder="1"/>
    <xf numFmtId="0" fontId="3" fillId="0" borderId="0" xfId="0" applyNumberFormat="1" applyFont="1" applyBorder="1"/>
    <xf numFmtId="4" fontId="4" fillId="0" borderId="2" xfId="0" applyNumberFormat="1" applyFont="1" applyBorder="1" applyAlignment="1">
      <alignment horizontal="right"/>
    </xf>
    <xf numFmtId="164" fontId="6" fillId="0" borderId="0" xfId="2" applyNumberFormat="1" applyFont="1" applyFill="1" applyBorder="1"/>
    <xf numFmtId="49" fontId="15" fillId="0" borderId="0" xfId="0" applyNumberFormat="1" applyFont="1" applyFill="1"/>
    <xf numFmtId="171" fontId="8" fillId="0" borderId="0" xfId="0" applyNumberFormat="1" applyFont="1"/>
    <xf numFmtId="164" fontId="12" fillId="2" borderId="0" xfId="0" applyNumberFormat="1" applyFont="1" applyFill="1"/>
    <xf numFmtId="49" fontId="3" fillId="0" borderId="0" xfId="0" applyNumberFormat="1" applyFont="1" applyBorder="1" applyAlignment="1">
      <alignment horizontal="center"/>
    </xf>
    <xf numFmtId="3" fontId="0" fillId="2" borderId="0" xfId="0" applyNumberFormat="1" applyFill="1"/>
    <xf numFmtId="2" fontId="8" fillId="2" borderId="0" xfId="0" applyNumberFormat="1" applyFont="1" applyFill="1"/>
    <xf numFmtId="49" fontId="15" fillId="0" borderId="0" xfId="0" applyNumberFormat="1" applyFont="1" applyAlignment="1">
      <alignment horizontal="left" wrapText="1"/>
    </xf>
    <xf numFmtId="49" fontId="3" fillId="0" borderId="0" xfId="0" applyNumberFormat="1" applyFont="1" applyFill="1" applyAlignment="1">
      <alignment horizontal="left" wrapText="1"/>
    </xf>
    <xf numFmtId="49" fontId="3" fillId="0" borderId="0" xfId="0" applyNumberFormat="1" applyFont="1" applyAlignment="1">
      <alignment wrapText="1"/>
    </xf>
    <xf numFmtId="0" fontId="7" fillId="0" borderId="2" xfId="0" applyFont="1" applyFill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3" fontId="12" fillId="0" borderId="0" xfId="0" applyNumberFormat="1" applyFont="1" applyFill="1"/>
    <xf numFmtId="164" fontId="8" fillId="2" borderId="0" xfId="0" applyNumberFormat="1" applyFont="1" applyFill="1"/>
    <xf numFmtId="49" fontId="3" fillId="0" borderId="0" xfId="0" applyNumberFormat="1" applyFont="1" applyFill="1" applyBorder="1" applyAlignment="1">
      <alignment horizontal="center"/>
    </xf>
    <xf numFmtId="2" fontId="8" fillId="0" borderId="0" xfId="0" applyNumberFormat="1" applyFont="1" applyFill="1"/>
    <xf numFmtId="4" fontId="0" fillId="0" borderId="0" xfId="0" applyNumberFormat="1" applyFill="1" applyBorder="1"/>
    <xf numFmtId="3" fontId="8" fillId="0" borderId="0" xfId="0" applyNumberFormat="1" applyFont="1" applyFill="1" applyBorder="1" applyAlignment="1">
      <alignment horizontal="right"/>
    </xf>
    <xf numFmtId="4" fontId="12" fillId="0" borderId="0" xfId="0" applyNumberFormat="1" applyFont="1" applyFill="1" applyBorder="1"/>
    <xf numFmtId="2" fontId="8" fillId="0" borderId="0" xfId="0" applyNumberFormat="1" applyFont="1" applyFill="1" applyBorder="1"/>
    <xf numFmtId="3" fontId="7" fillId="0" borderId="0" xfId="0" applyNumberFormat="1" applyFont="1" applyFill="1" applyBorder="1"/>
    <xf numFmtId="164" fontId="12" fillId="0" borderId="0" xfId="0" applyNumberFormat="1" applyFont="1" applyFill="1" applyBorder="1"/>
    <xf numFmtId="164" fontId="8" fillId="0" borderId="0" xfId="0" applyNumberFormat="1" applyFont="1" applyFill="1" applyBorder="1"/>
    <xf numFmtId="49" fontId="3" fillId="5" borderId="0" xfId="0" applyNumberFormat="1" applyFont="1" applyFill="1"/>
    <xf numFmtId="171" fontId="8" fillId="0" borderId="0" xfId="0" applyNumberFormat="1" applyFont="1" applyFill="1" applyBorder="1"/>
    <xf numFmtId="164" fontId="4" fillId="5" borderId="0" xfId="0" applyNumberFormat="1" applyFont="1" applyFill="1"/>
    <xf numFmtId="3" fontId="7" fillId="0" borderId="0" xfId="0" applyNumberFormat="1" applyFont="1" applyFill="1" applyAlignment="1">
      <alignment horizontal="center"/>
    </xf>
    <xf numFmtId="164" fontId="4" fillId="2" borderId="5" xfId="0" applyNumberFormat="1" applyFont="1" applyFill="1" applyBorder="1"/>
    <xf numFmtId="49" fontId="13" fillId="0" borderId="0" xfId="0" applyNumberFormat="1" applyFont="1" applyFill="1"/>
    <xf numFmtId="49" fontId="3" fillId="0" borderId="0" xfId="0" applyNumberFormat="1" applyFont="1" applyFill="1" applyBorder="1"/>
    <xf numFmtId="49" fontId="3" fillId="0" borderId="0" xfId="0" applyNumberFormat="1" applyFont="1" applyFill="1" applyBorder="1" applyAlignment="1">
      <alignment horizontal="left" wrapText="1"/>
    </xf>
    <xf numFmtId="164" fontId="4" fillId="0" borderId="5" xfId="0" applyNumberFormat="1" applyFont="1" applyFill="1" applyBorder="1"/>
    <xf numFmtId="49" fontId="17" fillId="0" borderId="0" xfId="0" applyNumberFormat="1" applyFont="1" applyFill="1"/>
    <xf numFmtId="49" fontId="17" fillId="0" borderId="0" xfId="0" applyNumberFormat="1" applyFont="1" applyFill="1" applyBorder="1"/>
    <xf numFmtId="171" fontId="12" fillId="2" borderId="0" xfId="1" applyNumberFormat="1" applyFont="1" applyFill="1"/>
    <xf numFmtId="171" fontId="8" fillId="2" borderId="0" xfId="1" applyNumberFormat="1" applyFont="1" applyFill="1" applyBorder="1" applyAlignment="1">
      <alignment horizontal="right"/>
    </xf>
    <xf numFmtId="171" fontId="8" fillId="2" borderId="0" xfId="1" applyNumberFormat="1" applyFont="1" applyFill="1" applyBorder="1"/>
    <xf numFmtId="171" fontId="8" fillId="0" borderId="0" xfId="1" applyNumberFormat="1" applyFont="1" applyFill="1" applyBorder="1"/>
    <xf numFmtId="0" fontId="8" fillId="0" borderId="0" xfId="0" applyNumberFormat="1" applyFont="1" applyFill="1" applyBorder="1" applyAlignment="1">
      <alignment horizontal="right" wrapText="1"/>
    </xf>
    <xf numFmtId="3" fontId="8" fillId="0" borderId="0" xfId="0" applyNumberFormat="1" applyFont="1" applyFill="1" applyAlignment="1">
      <alignment horizontal="right" wrapText="1"/>
    </xf>
    <xf numFmtId="0" fontId="8" fillId="0" borderId="0" xfId="0" applyFont="1"/>
    <xf numFmtId="0" fontId="14" fillId="0" borderId="0" xfId="0" applyFont="1" applyFill="1" applyBorder="1"/>
    <xf numFmtId="0" fontId="14" fillId="0" borderId="0" xfId="0" applyFont="1" applyFill="1"/>
    <xf numFmtId="0" fontId="14" fillId="0" borderId="0" xfId="0" applyFont="1"/>
    <xf numFmtId="3" fontId="14" fillId="0" borderId="0" xfId="0" applyNumberFormat="1" applyFont="1" applyFill="1" applyBorder="1"/>
    <xf numFmtId="3" fontId="14" fillId="0" borderId="0" xfId="0" applyNumberFormat="1" applyFont="1" applyFill="1"/>
    <xf numFmtId="3" fontId="4" fillId="0" borderId="0" xfId="0" applyNumberFormat="1" applyFont="1" applyFill="1" applyBorder="1"/>
    <xf numFmtId="3" fontId="4" fillId="0" borderId="5" xfId="0" applyNumberFormat="1" applyFont="1" applyFill="1" applyBorder="1"/>
    <xf numFmtId="3" fontId="14" fillId="0" borderId="5" xfId="0" applyNumberFormat="1" applyFont="1" applyFill="1" applyBorder="1"/>
    <xf numFmtId="3" fontId="14" fillId="0" borderId="4" xfId="0" applyNumberFormat="1" applyFont="1" applyFill="1" applyBorder="1"/>
    <xf numFmtId="4" fontId="4" fillId="0" borderId="0" xfId="3" applyNumberFormat="1" applyFont="1" applyFill="1" applyAlignment="1">
      <alignment horizontal="right"/>
    </xf>
    <xf numFmtId="164" fontId="4" fillId="0" borderId="2" xfId="0" applyNumberFormat="1" applyFont="1" applyFill="1" applyBorder="1"/>
    <xf numFmtId="175" fontId="14" fillId="0" borderId="0" xfId="0" applyNumberFormat="1" applyFont="1" applyFill="1" applyBorder="1"/>
    <xf numFmtId="0" fontId="14" fillId="0" borderId="0" xfId="0" applyFont="1" applyBorder="1"/>
    <xf numFmtId="171" fontId="4" fillId="0" borderId="0" xfId="1" applyNumberFormat="1" applyFont="1"/>
    <xf numFmtId="171" fontId="14" fillId="0" borderId="0" xfId="1" applyNumberFormat="1" applyFont="1" applyFill="1" applyBorder="1"/>
    <xf numFmtId="0" fontId="14" fillId="0" borderId="0" xfId="0" applyFont="1" applyBorder="1" applyAlignment="1">
      <alignment horizontal="center"/>
    </xf>
    <xf numFmtId="164" fontId="4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71" fontId="14" fillId="0" borderId="0" xfId="1" applyNumberFormat="1" applyFont="1" applyFill="1"/>
    <xf numFmtId="4" fontId="4" fillId="0" borderId="0" xfId="0" applyNumberFormat="1" applyFont="1" applyBorder="1" applyAlignment="1">
      <alignment horizontal="right"/>
    </xf>
    <xf numFmtId="171" fontId="4" fillId="0" borderId="0" xfId="1" applyNumberFormat="1" applyFont="1" applyBorder="1"/>
    <xf numFmtId="171" fontId="4" fillId="0" borderId="2" xfId="1" applyNumberFormat="1" applyFont="1" applyBorder="1"/>
    <xf numFmtId="171" fontId="4" fillId="0" borderId="2" xfId="1" applyNumberFormat="1" applyFont="1" applyFill="1" applyBorder="1"/>
    <xf numFmtId="0" fontId="4" fillId="0" borderId="0" xfId="0" applyFont="1"/>
    <xf numFmtId="171" fontId="4" fillId="2" borderId="0" xfId="1" applyNumberFormat="1" applyFont="1" applyFill="1"/>
    <xf numFmtId="171" fontId="14" fillId="6" borderId="0" xfId="1" applyNumberFormat="1" applyFont="1" applyFill="1"/>
    <xf numFmtId="171" fontId="4" fillId="0" borderId="0" xfId="1" applyNumberFormat="1" applyFont="1" applyFill="1"/>
    <xf numFmtId="0" fontId="18" fillId="0" borderId="0" xfId="0" applyFont="1"/>
    <xf numFmtId="171" fontId="14" fillId="4" borderId="0" xfId="1" applyNumberFormat="1" applyFont="1" applyFill="1"/>
    <xf numFmtId="171" fontId="4" fillId="2" borderId="5" xfId="1" applyNumberFormat="1" applyFont="1" applyFill="1" applyBorder="1"/>
    <xf numFmtId="171" fontId="14" fillId="2" borderId="5" xfId="1" applyNumberFormat="1" applyFont="1" applyFill="1" applyBorder="1"/>
    <xf numFmtId="4" fontId="4" fillId="0" borderId="0" xfId="0" applyNumberFormat="1" applyFont="1" applyFill="1" applyAlignment="1">
      <alignment horizontal="right"/>
    </xf>
    <xf numFmtId="171" fontId="14" fillId="0" borderId="2" xfId="1" applyNumberFormat="1" applyFont="1" applyFill="1" applyBorder="1"/>
    <xf numFmtId="171" fontId="14" fillId="4" borderId="2" xfId="1" applyNumberFormat="1" applyFont="1" applyFill="1" applyBorder="1"/>
    <xf numFmtId="171" fontId="4" fillId="2" borderId="4" xfId="1" applyNumberFormat="1" applyFont="1" applyFill="1" applyBorder="1"/>
    <xf numFmtId="171" fontId="14" fillId="2" borderId="4" xfId="1" applyNumberFormat="1" applyFont="1" applyFill="1" applyBorder="1"/>
    <xf numFmtId="43" fontId="14" fillId="0" borderId="0" xfId="1" applyFont="1" applyFill="1"/>
    <xf numFmtId="171" fontId="4" fillId="0" borderId="0" xfId="1" applyNumberFormat="1" applyFont="1" applyFill="1" applyBorder="1"/>
    <xf numFmtId="171" fontId="4" fillId="4" borderId="0" xfId="1" applyNumberFormat="1" applyFont="1" applyFill="1"/>
    <xf numFmtId="171" fontId="4" fillId="0" borderId="0" xfId="1" applyNumberFormat="1" applyFont="1" applyFill="1" applyAlignment="1">
      <alignment horizontal="right"/>
    </xf>
    <xf numFmtId="4" fontId="4" fillId="0" borderId="2" xfId="0" applyNumberFormat="1" applyFont="1" applyFill="1" applyBorder="1" applyAlignment="1">
      <alignment horizontal="right"/>
    </xf>
    <xf numFmtId="4" fontId="4" fillId="0" borderId="0" xfId="0" applyNumberFormat="1" applyFont="1" applyFill="1" applyBorder="1" applyAlignment="1">
      <alignment horizontal="right"/>
    </xf>
    <xf numFmtId="4" fontId="4" fillId="0" borderId="5" xfId="0" applyNumberFormat="1" applyFont="1" applyFill="1" applyBorder="1" applyAlignment="1">
      <alignment horizontal="right"/>
    </xf>
    <xf numFmtId="171" fontId="4" fillId="2" borderId="6" xfId="1" applyNumberFormat="1" applyFont="1" applyFill="1" applyBorder="1"/>
    <xf numFmtId="0" fontId="14" fillId="0" borderId="0" xfId="0" applyNumberFormat="1" applyFont="1"/>
    <xf numFmtId="0" fontId="14" fillId="0" borderId="0" xfId="0" applyNumberFormat="1" applyFont="1" applyFill="1" applyBorder="1"/>
    <xf numFmtId="0" fontId="14" fillId="0" borderId="0" xfId="0" applyNumberFormat="1" applyFont="1" applyBorder="1"/>
    <xf numFmtId="171" fontId="4" fillId="6" borderId="0" xfId="1" applyNumberFormat="1" applyFont="1" applyFill="1" applyBorder="1"/>
    <xf numFmtId="171" fontId="14" fillId="0" borderId="0" xfId="1" applyNumberFormat="1" applyFont="1"/>
    <xf numFmtId="0" fontId="14" fillId="0" borderId="0" xfId="0" applyNumberFormat="1" applyFont="1" applyFill="1"/>
    <xf numFmtId="171" fontId="14" fillId="7" borderId="6" xfId="1" applyNumberFormat="1" applyFont="1" applyFill="1" applyBorder="1"/>
    <xf numFmtId="171" fontId="14" fillId="6" borderId="6" xfId="1" applyNumberFormat="1" applyFont="1" applyFill="1" applyBorder="1"/>
    <xf numFmtId="171" fontId="4" fillId="2" borderId="7" xfId="1" applyNumberFormat="1" applyFont="1" applyFill="1" applyBorder="1"/>
    <xf numFmtId="0" fontId="7" fillId="0" borderId="4" xfId="0" applyFont="1" applyFill="1" applyBorder="1" applyAlignment="1">
      <alignment horizontal="right" wrapText="1"/>
    </xf>
    <xf numFmtId="175" fontId="12" fillId="2" borderId="0" xfId="0" applyNumberFormat="1" applyFont="1" applyFill="1"/>
    <xf numFmtId="175" fontId="8" fillId="2" borderId="0" xfId="0" applyNumberFormat="1" applyFont="1" applyFill="1"/>
    <xf numFmtId="4" fontId="4" fillId="0" borderId="0" xfId="3" applyNumberFormat="1" applyFont="1" applyFill="1" applyBorder="1" applyAlignment="1">
      <alignment horizontal="right"/>
    </xf>
    <xf numFmtId="164" fontId="4" fillId="0" borderId="0" xfId="3" applyNumberFormat="1" applyFont="1" applyFill="1" applyBorder="1"/>
    <xf numFmtId="4" fontId="4" fillId="0" borderId="2" xfId="3" applyNumberFormat="1" applyFont="1" applyFill="1" applyBorder="1" applyAlignment="1">
      <alignment horizontal="right"/>
    </xf>
    <xf numFmtId="164" fontId="4" fillId="0" borderId="2" xfId="3" applyNumberFormat="1" applyFont="1" applyFill="1" applyBorder="1"/>
    <xf numFmtId="49" fontId="3" fillId="0" borderId="0" xfId="0" applyNumberFormat="1" applyFont="1" applyFill="1" applyAlignment="1">
      <alignment horizontal="left" wrapText="1"/>
    </xf>
    <xf numFmtId="49" fontId="3" fillId="0" borderId="0" xfId="0" applyNumberFormat="1" applyFont="1" applyFill="1" applyAlignment="1">
      <alignment wrapText="1"/>
    </xf>
    <xf numFmtId="0" fontId="3" fillId="0" borderId="0" xfId="0" applyNumberFormat="1" applyFont="1" applyFill="1" applyAlignment="1">
      <alignment horizontal="left" wrapText="1"/>
    </xf>
    <xf numFmtId="0" fontId="14" fillId="0" borderId="0" xfId="0" applyFont="1" applyFill="1"/>
    <xf numFmtId="49" fontId="16" fillId="0" borderId="0" xfId="0" applyNumberFormat="1" applyFont="1" applyAlignment="1">
      <alignment horizontal="center" wrapText="1"/>
    </xf>
    <xf numFmtId="0" fontId="0" fillId="0" borderId="0" xfId="0"/>
    <xf numFmtId="49" fontId="3" fillId="0" borderId="0" xfId="0" applyNumberFormat="1" applyFont="1" applyAlignment="1">
      <alignment horizontal="left" wrapText="1"/>
    </xf>
  </cellXfs>
  <cellStyles count="5">
    <cellStyle name="Comma" xfId="1" builtinId="3"/>
    <cellStyle name="Normal" xfId="0" builtinId="0"/>
    <cellStyle name="Normal 2" xfId="2"/>
    <cellStyle name="Normal 2 2" xfId="3"/>
    <cellStyle name="Normal 3" xfId="4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2.75"/>
  <sheetData>
    <row r="1" spans="1:6">
      <c r="F1" s="5" t="s">
        <v>94</v>
      </c>
    </row>
    <row r="3" spans="1:6">
      <c r="A3" s="5" t="s">
        <v>95</v>
      </c>
    </row>
    <row r="4" spans="1:6">
      <c r="B4" t="s">
        <v>96</v>
      </c>
    </row>
    <row r="5" spans="1:6">
      <c r="B5" t="s">
        <v>97</v>
      </c>
    </row>
    <row r="8" spans="1:6">
      <c r="A8" s="5" t="s">
        <v>98</v>
      </c>
    </row>
    <row r="9" spans="1:6">
      <c r="B9" t="s">
        <v>99</v>
      </c>
    </row>
    <row r="12" spans="1:6">
      <c r="A12" s="5" t="s">
        <v>100</v>
      </c>
    </row>
    <row r="13" spans="1:6">
      <c r="B13" t="s">
        <v>101</v>
      </c>
    </row>
    <row r="14" spans="1:6">
      <c r="B14" t="s">
        <v>102</v>
      </c>
    </row>
    <row r="15" spans="1:6">
      <c r="C15" s="11" t="s">
        <v>103</v>
      </c>
    </row>
    <row r="16" spans="1:6">
      <c r="C16" s="11" t="s">
        <v>104</v>
      </c>
    </row>
    <row r="17" spans="1:4">
      <c r="C17" s="11" t="s">
        <v>105</v>
      </c>
    </row>
    <row r="18" spans="1:4">
      <c r="C18" s="11" t="s">
        <v>106</v>
      </c>
    </row>
    <row r="21" spans="1:4">
      <c r="A21" s="5" t="s">
        <v>107</v>
      </c>
    </row>
    <row r="22" spans="1:4">
      <c r="B22" t="s">
        <v>108</v>
      </c>
    </row>
    <row r="23" spans="1:4">
      <c r="B23" t="s">
        <v>109</v>
      </c>
    </row>
    <row r="24" spans="1:4">
      <c r="C24" s="11" t="s">
        <v>110</v>
      </c>
    </row>
    <row r="25" spans="1:4">
      <c r="D25" t="s">
        <v>111</v>
      </c>
    </row>
    <row r="26" spans="1:4">
      <c r="D26" t="s">
        <v>112</v>
      </c>
    </row>
    <row r="27" spans="1:4">
      <c r="C27" s="11" t="s">
        <v>113</v>
      </c>
    </row>
    <row r="28" spans="1:4">
      <c r="D28" t="s">
        <v>114</v>
      </c>
    </row>
    <row r="29" spans="1:4">
      <c r="C29" s="11" t="s">
        <v>115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276"/>
  <sheetViews>
    <sheetView tabSelected="1" zoomScale="110" zoomScaleNormal="110" workbookViewId="0">
      <selection activeCell="P205" sqref="P205"/>
    </sheetView>
  </sheetViews>
  <sheetFormatPr defaultRowHeight="12.75"/>
  <cols>
    <col min="1" max="5" width="3" style="9" customWidth="1"/>
    <col min="6" max="6" width="45" style="9" customWidth="1"/>
    <col min="7" max="7" width="12" style="9" customWidth="1"/>
    <col min="8" max="9" width="12.140625" style="9" customWidth="1"/>
    <col min="10" max="10" width="12" style="9" customWidth="1"/>
    <col min="11" max="11" width="12.140625" style="10" customWidth="1"/>
    <col min="12" max="12" width="12.7109375" style="10" customWidth="1"/>
    <col min="13" max="13" width="12.5703125" style="17" customWidth="1"/>
    <col min="14" max="14" width="12.7109375" style="17" customWidth="1"/>
    <col min="15" max="15" width="12.7109375" style="37" customWidth="1"/>
    <col min="16" max="23" width="9.140625" customWidth="1"/>
  </cols>
  <sheetData>
    <row r="1" spans="1:37">
      <c r="L1" s="45" t="s">
        <v>184</v>
      </c>
      <c r="M1" s="45" t="s">
        <v>185</v>
      </c>
      <c r="N1" s="45" t="s">
        <v>203</v>
      </c>
      <c r="O1" s="57"/>
    </row>
    <row r="2" spans="1:37" ht="18">
      <c r="B2" s="24"/>
      <c r="C2" s="23"/>
      <c r="F2" s="24" t="s">
        <v>142</v>
      </c>
      <c r="L2" s="28">
        <v>395</v>
      </c>
      <c r="M2" s="43">
        <v>394</v>
      </c>
      <c r="N2" s="43">
        <v>394</v>
      </c>
      <c r="O2" s="67"/>
    </row>
    <row r="3" spans="1:37" ht="18">
      <c r="B3" s="24"/>
      <c r="C3" s="23"/>
      <c r="F3" s="24" t="s">
        <v>143</v>
      </c>
      <c r="L3" s="28">
        <v>390</v>
      </c>
      <c r="M3" s="43">
        <v>389</v>
      </c>
      <c r="N3" s="43">
        <v>388</v>
      </c>
      <c r="O3" s="67"/>
    </row>
    <row r="4" spans="1:37">
      <c r="B4" s="20"/>
      <c r="C4" s="20"/>
      <c r="F4" s="25" t="s">
        <v>153</v>
      </c>
      <c r="L4" s="77">
        <f>L47-L12</f>
        <v>207237.04000000004</v>
      </c>
      <c r="M4" s="78">
        <f>+M27+M13+M40+M41+M46</f>
        <v>277278</v>
      </c>
      <c r="N4" s="78">
        <f>+N27+N13+N40+N41+N46</f>
        <v>220070</v>
      </c>
      <c r="O4" s="60"/>
    </row>
    <row r="5" spans="1:37">
      <c r="B5" s="21"/>
      <c r="C5" s="21"/>
      <c r="F5" s="27" t="s">
        <v>234</v>
      </c>
      <c r="L5" s="78">
        <f>L185+L208</f>
        <v>975597.65</v>
      </c>
      <c r="M5" s="78">
        <f>M185+M208</f>
        <v>927686</v>
      </c>
      <c r="N5" s="78">
        <f>N185+N208</f>
        <v>909555.72</v>
      </c>
      <c r="O5" s="60"/>
    </row>
    <row r="6" spans="1:37">
      <c r="B6" s="20"/>
      <c r="C6" s="20"/>
      <c r="F6" s="25" t="s">
        <v>154</v>
      </c>
      <c r="L6" s="79">
        <f>(L5-L4)/L3</f>
        <v>1970.1554102564103</v>
      </c>
      <c r="M6" s="79">
        <f>(M5-M4)/M3</f>
        <v>1672</v>
      </c>
      <c r="N6" s="79">
        <f>(N5-N4)/N3</f>
        <v>1777.0250515463918</v>
      </c>
      <c r="O6" s="80">
        <f>+N6-M6</f>
        <v>105.02505154639175</v>
      </c>
      <c r="P6" s="83" t="s">
        <v>263</v>
      </c>
    </row>
    <row r="7" spans="1:37">
      <c r="F7" s="28" t="s">
        <v>155</v>
      </c>
      <c r="L7" s="77">
        <f>L6*L3</f>
        <v>768360.61</v>
      </c>
      <c r="M7" s="77">
        <f>M6*M3</f>
        <v>650408</v>
      </c>
      <c r="N7" s="77">
        <f>N6*N3</f>
        <v>689485.72</v>
      </c>
      <c r="O7" s="61"/>
    </row>
    <row r="8" spans="1:37" ht="18.75" thickBot="1">
      <c r="A8" s="18"/>
      <c r="B8" s="1"/>
      <c r="C8" s="1"/>
      <c r="D8" s="1"/>
      <c r="E8" s="1"/>
      <c r="F8" s="1"/>
      <c r="G8" s="1"/>
      <c r="H8" s="1"/>
      <c r="I8" s="1"/>
      <c r="J8" s="1"/>
      <c r="K8" s="2"/>
      <c r="L8" s="52" t="s">
        <v>262</v>
      </c>
      <c r="M8" s="51"/>
      <c r="N8" s="51"/>
      <c r="O8" s="54"/>
      <c r="R8" s="23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</row>
    <row r="9" spans="1:37" s="8" customFormat="1" ht="28.5" customHeight="1" thickTop="1" thickBot="1">
      <c r="A9" s="1"/>
      <c r="B9" s="6"/>
      <c r="C9" s="6"/>
      <c r="D9" s="6"/>
      <c r="E9" s="6"/>
      <c r="F9" s="6"/>
      <c r="G9" s="7" t="s">
        <v>119</v>
      </c>
      <c r="H9" s="7" t="s">
        <v>117</v>
      </c>
      <c r="I9" s="7" t="s">
        <v>118</v>
      </c>
      <c r="J9" s="7" t="s">
        <v>116</v>
      </c>
      <c r="K9" s="7" t="s">
        <v>0</v>
      </c>
      <c r="L9" s="53" t="s">
        <v>184</v>
      </c>
      <c r="M9" s="137" t="s">
        <v>277</v>
      </c>
      <c r="N9" s="137" t="s">
        <v>278</v>
      </c>
      <c r="O9" s="54"/>
      <c r="R9" s="23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</row>
    <row r="10" spans="1:37" s="86" customFormat="1" ht="12" thickTop="1">
      <c r="A10" s="1" t="s">
        <v>1</v>
      </c>
      <c r="B10" s="1"/>
      <c r="C10" s="1"/>
      <c r="D10" s="1"/>
      <c r="E10" s="1"/>
      <c r="F10" s="1"/>
      <c r="G10" s="1"/>
      <c r="H10" s="1"/>
      <c r="I10" s="1"/>
      <c r="J10" s="1"/>
      <c r="K10" s="3"/>
      <c r="L10" s="3"/>
      <c r="M10" s="95"/>
      <c r="N10" s="95"/>
      <c r="O10" s="84"/>
      <c r="R10" s="96"/>
      <c r="S10" s="96"/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96"/>
      <c r="AI10" s="96"/>
      <c r="AJ10" s="96"/>
      <c r="AK10" s="96"/>
    </row>
    <row r="11" spans="1:37" s="86" customFormat="1" ht="11.25">
      <c r="A11" s="1"/>
      <c r="B11" s="1"/>
      <c r="C11" s="1" t="s">
        <v>2</v>
      </c>
      <c r="D11" s="1"/>
      <c r="E11" s="1"/>
      <c r="F11" s="1"/>
      <c r="G11" s="1"/>
      <c r="H11" s="1"/>
      <c r="I11" s="1"/>
      <c r="J11" s="1"/>
      <c r="K11" s="3"/>
      <c r="L11" s="97"/>
      <c r="M11" s="98"/>
      <c r="N11" s="98"/>
      <c r="O11" s="87"/>
      <c r="R11" s="99"/>
      <c r="S11" s="96"/>
      <c r="T11" s="96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6"/>
      <c r="AF11" s="96"/>
      <c r="AG11" s="96"/>
      <c r="AH11" s="96"/>
      <c r="AI11" s="96"/>
      <c r="AJ11" s="96"/>
      <c r="AK11" s="96"/>
    </row>
    <row r="12" spans="1:37" s="86" customFormat="1" ht="11.25">
      <c r="A12" s="1"/>
      <c r="B12" s="1"/>
      <c r="C12" s="1"/>
      <c r="D12" s="1" t="s">
        <v>3</v>
      </c>
      <c r="E12" s="1"/>
      <c r="F12" s="1"/>
      <c r="G12" s="100">
        <v>463867.51</v>
      </c>
      <c r="H12" s="101">
        <v>482211.51</v>
      </c>
      <c r="I12" s="101">
        <v>595767.38</v>
      </c>
      <c r="J12" s="101">
        <v>595697.79</v>
      </c>
      <c r="K12" s="3">
        <v>648216.56000000006</v>
      </c>
      <c r="L12" s="97">
        <v>620980.32999999996</v>
      </c>
      <c r="M12" s="102">
        <v>650408</v>
      </c>
      <c r="N12" s="102">
        <f>+N7</f>
        <v>689485.72</v>
      </c>
      <c r="O12" s="87"/>
      <c r="R12" s="96"/>
    </row>
    <row r="13" spans="1:37" s="86" customFormat="1" ht="11.25">
      <c r="A13" s="1"/>
      <c r="B13" s="1"/>
      <c r="C13" s="1"/>
      <c r="D13" s="1" t="s">
        <v>4</v>
      </c>
      <c r="E13" s="1"/>
      <c r="F13" s="1"/>
      <c r="G13" s="101">
        <v>152056.82</v>
      </c>
      <c r="H13" s="101">
        <v>139517.32999999999</v>
      </c>
      <c r="I13" s="101">
        <v>161715.82</v>
      </c>
      <c r="J13" s="101">
        <v>157613.93</v>
      </c>
      <c r="K13" s="3">
        <v>191962.96</v>
      </c>
      <c r="L13" s="97">
        <v>193361.51</v>
      </c>
      <c r="M13" s="102">
        <v>165000</v>
      </c>
      <c r="N13" s="102">
        <v>175000</v>
      </c>
      <c r="O13" s="87"/>
      <c r="P13" s="96"/>
      <c r="Q13" s="96"/>
      <c r="R13" s="96"/>
    </row>
    <row r="14" spans="1:37" s="86" customFormat="1" ht="13.5" customHeight="1">
      <c r="A14" s="1"/>
      <c r="B14" s="1"/>
      <c r="C14" s="1"/>
      <c r="D14" s="1" t="s">
        <v>10</v>
      </c>
      <c r="E14" s="1"/>
      <c r="F14" s="1"/>
      <c r="G14" s="101"/>
      <c r="H14" s="101"/>
      <c r="I14" s="101"/>
      <c r="J14" s="101"/>
      <c r="K14" s="3"/>
      <c r="L14" s="97"/>
      <c r="M14" s="102"/>
      <c r="N14" s="102"/>
      <c r="O14" s="87"/>
    </row>
    <row r="15" spans="1:37" s="86" customFormat="1" ht="11.25">
      <c r="A15" s="1"/>
      <c r="B15" s="1"/>
      <c r="C15" s="1"/>
      <c r="D15" s="1"/>
      <c r="E15" s="1" t="s">
        <v>11</v>
      </c>
      <c r="F15" s="1"/>
      <c r="G15" s="101">
        <v>740</v>
      </c>
      <c r="H15" s="101">
        <v>500</v>
      </c>
      <c r="I15" s="101">
        <v>650</v>
      </c>
      <c r="J15" s="101">
        <v>680</v>
      </c>
      <c r="K15" s="3">
        <v>600</v>
      </c>
      <c r="L15" s="97">
        <v>700</v>
      </c>
      <c r="M15" s="102">
        <v>600</v>
      </c>
      <c r="N15" s="102">
        <v>600</v>
      </c>
      <c r="O15" s="87"/>
    </row>
    <row r="16" spans="1:37" s="86" customFormat="1" ht="11.25">
      <c r="A16" s="1"/>
      <c r="B16" s="1"/>
      <c r="C16" s="1"/>
      <c r="D16" s="1"/>
      <c r="E16" s="1" t="s">
        <v>202</v>
      </c>
      <c r="F16" s="1"/>
      <c r="G16" s="101">
        <v>7248</v>
      </c>
      <c r="H16" s="101">
        <v>2558.39</v>
      </c>
      <c r="I16" s="101">
        <v>2018.95</v>
      </c>
      <c r="J16" s="101">
        <v>418.4</v>
      </c>
      <c r="K16" s="3">
        <v>2356.83</v>
      </c>
      <c r="L16" s="97">
        <v>759.91</v>
      </c>
      <c r="M16" s="102">
        <v>2000</v>
      </c>
      <c r="N16" s="102">
        <v>2000</v>
      </c>
      <c r="O16" s="87"/>
    </row>
    <row r="17" spans="1:18" s="86" customFormat="1" ht="11.25" hidden="1">
      <c r="A17" s="1"/>
      <c r="B17" s="1"/>
      <c r="C17" s="1"/>
      <c r="D17" s="1"/>
      <c r="E17" s="1" t="s">
        <v>13</v>
      </c>
      <c r="F17" s="1"/>
      <c r="G17" s="101"/>
      <c r="H17" s="101"/>
      <c r="I17" s="101"/>
      <c r="J17" s="101"/>
      <c r="K17" s="3">
        <v>8.67</v>
      </c>
      <c r="L17" s="97"/>
      <c r="M17" s="102">
        <v>0</v>
      </c>
      <c r="N17" s="102">
        <v>0</v>
      </c>
      <c r="O17" s="87"/>
    </row>
    <row r="18" spans="1:18" s="86" customFormat="1" ht="11.25">
      <c r="A18" s="1"/>
      <c r="B18" s="1"/>
      <c r="C18" s="1"/>
      <c r="D18" s="1"/>
      <c r="E18" s="1" t="s">
        <v>14</v>
      </c>
      <c r="F18" s="1"/>
      <c r="G18" s="101">
        <v>924</v>
      </c>
      <c r="H18" s="101">
        <v>175</v>
      </c>
      <c r="I18" s="101">
        <v>446</v>
      </c>
      <c r="J18" s="101">
        <v>315</v>
      </c>
      <c r="K18" s="3">
        <v>245</v>
      </c>
      <c r="L18" s="97">
        <v>175</v>
      </c>
      <c r="M18" s="102">
        <v>200</v>
      </c>
      <c r="N18" s="102">
        <v>200</v>
      </c>
      <c r="O18" s="87"/>
    </row>
    <row r="19" spans="1:18" s="86" customFormat="1" ht="11.25">
      <c r="A19" s="1"/>
      <c r="B19" s="1"/>
      <c r="C19" s="1"/>
      <c r="D19" s="1"/>
      <c r="E19" s="1" t="s">
        <v>15</v>
      </c>
      <c r="F19" s="1"/>
      <c r="G19" s="101">
        <v>34.69</v>
      </c>
      <c r="H19" s="101">
        <v>385.04</v>
      </c>
      <c r="I19" s="101">
        <v>27.2</v>
      </c>
      <c r="J19" s="101">
        <v>15.76</v>
      </c>
      <c r="K19" s="3">
        <v>20.65</v>
      </c>
      <c r="L19" s="97">
        <v>34.450000000000003</v>
      </c>
      <c r="M19" s="102">
        <v>20</v>
      </c>
      <c r="N19" s="102">
        <v>20</v>
      </c>
      <c r="O19" s="87"/>
    </row>
    <row r="20" spans="1:18" s="86" customFormat="1" ht="11.25">
      <c r="A20" s="1"/>
      <c r="B20" s="1"/>
      <c r="C20" s="1"/>
      <c r="D20" s="1"/>
      <c r="E20" s="1" t="s">
        <v>16</v>
      </c>
      <c r="F20" s="1"/>
      <c r="G20" s="101">
        <v>4300</v>
      </c>
      <c r="H20" s="101">
        <v>2000</v>
      </c>
      <c r="I20" s="101">
        <v>1800</v>
      </c>
      <c r="J20" s="101">
        <v>2500</v>
      </c>
      <c r="K20" s="3">
        <v>2475</v>
      </c>
      <c r="L20" s="97">
        <v>1750</v>
      </c>
      <c r="M20" s="102">
        <v>1000</v>
      </c>
      <c r="N20" s="102">
        <v>1000</v>
      </c>
      <c r="O20" s="87"/>
    </row>
    <row r="21" spans="1:18" s="86" customFormat="1" ht="11.25">
      <c r="A21" s="1"/>
      <c r="B21" s="1"/>
      <c r="C21" s="1"/>
      <c r="D21" s="1"/>
      <c r="E21" s="1" t="s">
        <v>163</v>
      </c>
      <c r="F21" s="1"/>
      <c r="G21" s="101"/>
      <c r="H21" s="101"/>
      <c r="I21" s="101"/>
      <c r="J21" s="101"/>
      <c r="K21" s="3"/>
      <c r="L21" s="97"/>
      <c r="M21" s="102">
        <v>500</v>
      </c>
      <c r="N21" s="102">
        <v>250</v>
      </c>
      <c r="O21" s="87"/>
    </row>
    <row r="22" spans="1:18" s="86" customFormat="1" ht="11.25" hidden="1">
      <c r="A22" s="1"/>
      <c r="B22" s="1"/>
      <c r="C22" s="1"/>
      <c r="D22" s="1"/>
      <c r="E22" s="1" t="s">
        <v>17</v>
      </c>
      <c r="F22" s="1"/>
      <c r="G22" s="101">
        <v>100</v>
      </c>
      <c r="H22" s="101">
        <v>150</v>
      </c>
      <c r="I22" s="101"/>
      <c r="J22" s="101"/>
      <c r="K22" s="3">
        <v>1550</v>
      </c>
      <c r="L22" s="97"/>
      <c r="M22" s="102">
        <v>0</v>
      </c>
      <c r="N22" s="102">
        <v>0</v>
      </c>
      <c r="O22" s="87"/>
    </row>
    <row r="23" spans="1:18" s="86" customFormat="1" ht="11.25">
      <c r="A23" s="1"/>
      <c r="B23" s="1"/>
      <c r="C23" s="1"/>
      <c r="D23" s="9"/>
      <c r="E23" s="1" t="s">
        <v>164</v>
      </c>
      <c r="F23" s="1"/>
      <c r="G23" s="101">
        <v>10931.97</v>
      </c>
      <c r="H23" s="101">
        <v>10620.08</v>
      </c>
      <c r="I23" s="101">
        <v>8155.1</v>
      </c>
      <c r="J23" s="101">
        <v>3668.48</v>
      </c>
      <c r="K23" s="3">
        <v>16207.42</v>
      </c>
      <c r="L23" s="97">
        <v>9195.33</v>
      </c>
      <c r="M23" s="102">
        <v>4558</v>
      </c>
      <c r="N23" s="102">
        <v>5000</v>
      </c>
      <c r="O23" s="87" t="s">
        <v>256</v>
      </c>
    </row>
    <row r="24" spans="1:18" s="86" customFormat="1" ht="11.25">
      <c r="A24" s="1"/>
      <c r="B24" s="1"/>
      <c r="C24" s="1"/>
      <c r="D24" s="1"/>
      <c r="E24" s="1" t="s">
        <v>191</v>
      </c>
      <c r="F24" s="1"/>
      <c r="G24" s="103">
        <v>2611.75</v>
      </c>
      <c r="H24" s="103">
        <v>66.13</v>
      </c>
      <c r="I24" s="103">
        <v>562.49</v>
      </c>
      <c r="J24" s="103">
        <v>5355</v>
      </c>
      <c r="K24" s="15">
        <v>0</v>
      </c>
      <c r="L24" s="104">
        <v>147.19999999999999</v>
      </c>
      <c r="M24" s="102">
        <v>1000</v>
      </c>
      <c r="N24" s="102">
        <v>1000</v>
      </c>
      <c r="O24" s="87"/>
    </row>
    <row r="25" spans="1:18" s="86" customFormat="1" ht="11.25">
      <c r="A25" s="1"/>
      <c r="B25" s="1"/>
      <c r="C25" s="1"/>
      <c r="D25" s="1"/>
      <c r="E25" s="1" t="s">
        <v>10</v>
      </c>
      <c r="F25" s="1"/>
      <c r="G25" s="103"/>
      <c r="H25" s="103"/>
      <c r="I25" s="103"/>
      <c r="J25" s="103"/>
      <c r="K25" s="15"/>
      <c r="L25" s="104">
        <v>1008.4</v>
      </c>
      <c r="M25" s="102">
        <v>0</v>
      </c>
      <c r="N25" s="102">
        <v>0</v>
      </c>
      <c r="O25" s="87"/>
    </row>
    <row r="26" spans="1:18" s="107" customFormat="1" ht="12" thickBot="1">
      <c r="A26" s="1"/>
      <c r="B26" s="1"/>
      <c r="C26" s="1"/>
      <c r="D26" s="1"/>
      <c r="E26" s="1" t="s">
        <v>244</v>
      </c>
      <c r="F26" s="1"/>
      <c r="G26" s="40">
        <v>11456.33</v>
      </c>
      <c r="H26" s="40">
        <v>12257.12</v>
      </c>
      <c r="I26" s="40">
        <v>1552.45</v>
      </c>
      <c r="J26" s="40">
        <v>8933.65</v>
      </c>
      <c r="K26" s="4">
        <v>29791.41</v>
      </c>
      <c r="L26" s="105">
        <v>10365.52</v>
      </c>
      <c r="M26" s="106">
        <v>10000</v>
      </c>
      <c r="N26" s="106">
        <v>10000</v>
      </c>
      <c r="O26" s="89"/>
    </row>
    <row r="27" spans="1:18" s="86" customFormat="1" ht="11.25">
      <c r="A27" s="1"/>
      <c r="B27" s="1"/>
      <c r="C27" s="1"/>
      <c r="D27" s="1" t="s">
        <v>19</v>
      </c>
      <c r="E27" s="1"/>
      <c r="F27" s="1"/>
      <c r="G27" s="13">
        <f>ROUND(SUM(G14:G24),5)</f>
        <v>26890.41</v>
      </c>
      <c r="H27" s="13">
        <f>ROUND(SUM(H14:H24),5)</f>
        <v>16454.64</v>
      </c>
      <c r="I27" s="13">
        <f>ROUND(SUM(I14:I24),5)</f>
        <v>13659.74</v>
      </c>
      <c r="J27" s="13">
        <f>ROUND(SUM(J14:J24),5)</f>
        <v>12952.64</v>
      </c>
      <c r="K27" s="13">
        <f>ROUND(SUM(K14:K24),5)</f>
        <v>23463.57</v>
      </c>
      <c r="L27" s="108">
        <f>ROUND(SUM(L14:L25),5)</f>
        <v>13770.29</v>
      </c>
      <c r="M27" s="109">
        <f>SUM(M15:M26)</f>
        <v>19878</v>
      </c>
      <c r="N27" s="109">
        <f>SUM(N15:N26)</f>
        <v>20070</v>
      </c>
      <c r="O27" s="87"/>
    </row>
    <row r="28" spans="1:18" s="86" customFormat="1" ht="11.25">
      <c r="A28" s="1"/>
      <c r="B28" s="1"/>
      <c r="C28" s="1"/>
      <c r="D28" s="1" t="s">
        <v>120</v>
      </c>
      <c r="E28" s="32"/>
      <c r="F28" s="32"/>
      <c r="G28" s="16"/>
      <c r="H28" s="16"/>
      <c r="I28" s="16"/>
      <c r="J28" s="16"/>
      <c r="K28" s="16"/>
      <c r="L28" s="110"/>
      <c r="M28" s="102"/>
      <c r="N28" s="102"/>
      <c r="O28" s="87"/>
      <c r="P28" s="111"/>
      <c r="Q28" s="111"/>
      <c r="R28" s="111"/>
    </row>
    <row r="29" spans="1:18" s="86" customFormat="1" ht="11.25" hidden="1">
      <c r="A29" s="1"/>
      <c r="B29" s="1"/>
      <c r="C29" s="1"/>
      <c r="D29" s="1"/>
      <c r="E29" s="32" t="s">
        <v>145</v>
      </c>
      <c r="F29" s="32"/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10">
        <v>0</v>
      </c>
      <c r="M29" s="102"/>
      <c r="N29" s="112"/>
      <c r="O29" s="87"/>
    </row>
    <row r="30" spans="1:18" s="86" customFormat="1" ht="11.25" hidden="1">
      <c r="A30" s="1"/>
      <c r="B30" s="1"/>
      <c r="C30" s="1"/>
      <c r="D30" s="1"/>
      <c r="E30" s="32" t="s">
        <v>146</v>
      </c>
      <c r="F30" s="32"/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10">
        <v>0</v>
      </c>
      <c r="M30" s="102"/>
      <c r="N30" s="112"/>
      <c r="O30" s="87"/>
    </row>
    <row r="31" spans="1:18" s="86" customFormat="1" ht="11.25">
      <c r="A31" s="1"/>
      <c r="B31" s="1"/>
      <c r="C31" s="1"/>
      <c r="D31" s="1"/>
      <c r="E31" s="32" t="s">
        <v>271</v>
      </c>
      <c r="F31" s="32"/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10">
        <v>0</v>
      </c>
      <c r="M31" s="102">
        <v>0</v>
      </c>
      <c r="N31" s="102">
        <v>25000</v>
      </c>
      <c r="O31" s="87"/>
    </row>
    <row r="32" spans="1:18" s="86" customFormat="1" ht="25.5" hidden="1" customHeight="1">
      <c r="A32" s="1"/>
      <c r="B32" s="1"/>
      <c r="C32" s="1"/>
      <c r="D32" s="1"/>
      <c r="E32" s="144" t="s">
        <v>166</v>
      </c>
      <c r="F32" s="144"/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10">
        <v>0</v>
      </c>
      <c r="M32" s="102"/>
      <c r="N32" s="102"/>
      <c r="O32" s="87"/>
    </row>
    <row r="33" spans="1:15" s="86" customFormat="1" ht="11.25" hidden="1">
      <c r="A33" s="1"/>
      <c r="B33" s="1"/>
      <c r="C33" s="1"/>
      <c r="D33" s="1"/>
      <c r="E33" s="32" t="s">
        <v>147</v>
      </c>
      <c r="F33" s="32"/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10">
        <v>0</v>
      </c>
      <c r="M33" s="102"/>
      <c r="N33" s="102"/>
      <c r="O33" s="87"/>
    </row>
    <row r="34" spans="1:15" s="86" customFormat="1" ht="11.25" hidden="1">
      <c r="A34" s="1"/>
      <c r="B34" s="1"/>
      <c r="C34" s="1"/>
      <c r="D34" s="1"/>
      <c r="E34" s="32" t="s">
        <v>148</v>
      </c>
      <c r="F34" s="32"/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10">
        <v>0</v>
      </c>
      <c r="M34" s="102"/>
      <c r="N34" s="102"/>
      <c r="O34" s="87"/>
    </row>
    <row r="35" spans="1:15" s="86" customFormat="1" ht="11.25" hidden="1">
      <c r="A35" s="1"/>
      <c r="B35" s="1"/>
      <c r="C35" s="1"/>
      <c r="D35" s="1"/>
      <c r="E35" s="32" t="s">
        <v>149</v>
      </c>
      <c r="F35" s="32"/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10">
        <v>0</v>
      </c>
      <c r="M35" s="102"/>
      <c r="N35" s="102"/>
      <c r="O35" s="87"/>
    </row>
    <row r="36" spans="1:15" s="86" customFormat="1" ht="11.25" hidden="1">
      <c r="A36" s="1"/>
      <c r="B36" s="1"/>
      <c r="C36" s="1"/>
      <c r="D36" s="1"/>
      <c r="E36" s="32" t="s">
        <v>150</v>
      </c>
      <c r="F36" s="30"/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10">
        <v>0</v>
      </c>
      <c r="M36" s="102"/>
      <c r="N36" s="102"/>
      <c r="O36" s="87"/>
    </row>
    <row r="37" spans="1:15" s="86" customFormat="1" ht="12" thickBot="1">
      <c r="A37" s="1"/>
      <c r="B37" s="1"/>
      <c r="C37" s="1"/>
      <c r="D37" s="1"/>
      <c r="E37" s="32" t="s">
        <v>165</v>
      </c>
      <c r="F37" s="32"/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10">
        <v>0</v>
      </c>
      <c r="M37" s="102">
        <v>92000</v>
      </c>
      <c r="N37" s="102">
        <v>0</v>
      </c>
      <c r="O37" s="87" t="s">
        <v>266</v>
      </c>
    </row>
    <row r="38" spans="1:15" s="86" customFormat="1" ht="11.25" hidden="1">
      <c r="A38" s="1"/>
      <c r="B38" s="1"/>
      <c r="C38" s="1"/>
      <c r="D38" s="1"/>
      <c r="E38" s="32" t="s">
        <v>151</v>
      </c>
      <c r="F38" s="32"/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10">
        <v>0</v>
      </c>
      <c r="M38" s="102"/>
      <c r="N38" s="112"/>
      <c r="O38" s="87"/>
    </row>
    <row r="39" spans="1:15" s="86" customFormat="1" ht="11.25" hidden="1">
      <c r="A39" s="1"/>
      <c r="B39" s="1"/>
      <c r="C39" s="1"/>
      <c r="D39" s="1"/>
      <c r="E39" s="32" t="s">
        <v>144</v>
      </c>
      <c r="F39" s="32"/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10">
        <v>0</v>
      </c>
      <c r="M39" s="102"/>
      <c r="N39" s="112"/>
      <c r="O39" s="87"/>
    </row>
    <row r="40" spans="1:15" s="86" customFormat="1" ht="11.25">
      <c r="A40" s="1"/>
      <c r="B40" s="1"/>
      <c r="C40" s="1"/>
      <c r="D40" s="1" t="s">
        <v>152</v>
      </c>
      <c r="E40" s="32"/>
      <c r="F40" s="32"/>
      <c r="G40" s="26">
        <f t="shared" ref="G40:N40" si="0">SUM(G29:G39)</f>
        <v>0</v>
      </c>
      <c r="H40" s="26">
        <f t="shared" si="0"/>
        <v>0</v>
      </c>
      <c r="I40" s="26">
        <f t="shared" si="0"/>
        <v>0</v>
      </c>
      <c r="J40" s="26">
        <f t="shared" si="0"/>
        <v>0</v>
      </c>
      <c r="K40" s="26">
        <f t="shared" si="0"/>
        <v>0</v>
      </c>
      <c r="L40" s="113">
        <f t="shared" si="0"/>
        <v>0</v>
      </c>
      <c r="M40" s="114">
        <f t="shared" si="0"/>
        <v>92000</v>
      </c>
      <c r="N40" s="114">
        <f t="shared" si="0"/>
        <v>25000</v>
      </c>
      <c r="O40" s="87"/>
    </row>
    <row r="41" spans="1:15" s="86" customFormat="1" ht="11.25">
      <c r="A41" s="1"/>
      <c r="B41" s="1"/>
      <c r="C41" s="1"/>
      <c r="D41" s="32" t="s">
        <v>274</v>
      </c>
      <c r="E41" s="32"/>
      <c r="F41" s="32"/>
      <c r="G41" s="16"/>
      <c r="H41" s="16"/>
      <c r="I41" s="16"/>
      <c r="J41" s="16"/>
      <c r="K41" s="16"/>
      <c r="L41" s="110">
        <v>0</v>
      </c>
      <c r="M41" s="102">
        <v>0</v>
      </c>
      <c r="N41" s="102">
        <v>0</v>
      </c>
      <c r="O41" s="87"/>
    </row>
    <row r="42" spans="1:15" s="86" customFormat="1" ht="11.25">
      <c r="A42" s="1"/>
      <c r="B42" s="1"/>
      <c r="C42" s="1"/>
      <c r="D42" s="1" t="s">
        <v>5</v>
      </c>
      <c r="E42" s="32"/>
      <c r="F42" s="32"/>
      <c r="G42" s="115"/>
      <c r="H42" s="115"/>
      <c r="I42" s="115"/>
      <c r="J42" s="115"/>
      <c r="K42" s="16"/>
      <c r="L42" s="110"/>
      <c r="M42" s="102"/>
      <c r="N42" s="102"/>
      <c r="O42" s="87"/>
    </row>
    <row r="43" spans="1:15" s="86" customFormat="1" ht="11.25">
      <c r="A43" s="1"/>
      <c r="B43" s="1"/>
      <c r="C43" s="1"/>
      <c r="D43" s="1"/>
      <c r="E43" s="32" t="s">
        <v>6</v>
      </c>
      <c r="F43" s="32"/>
      <c r="G43" s="115"/>
      <c r="H43" s="115">
        <v>962.53</v>
      </c>
      <c r="I43" s="115">
        <v>3313.57</v>
      </c>
      <c r="J43" s="115">
        <v>176.7</v>
      </c>
      <c r="K43" s="16">
        <v>182.75</v>
      </c>
      <c r="L43" s="110">
        <v>93.51</v>
      </c>
      <c r="M43" s="102">
        <v>180</v>
      </c>
      <c r="N43" s="102">
        <v>0</v>
      </c>
      <c r="O43" s="87"/>
    </row>
    <row r="44" spans="1:15" s="86" customFormat="1" ht="12" thickBot="1">
      <c r="A44" s="1"/>
      <c r="B44" s="1"/>
      <c r="C44" s="1"/>
      <c r="D44" s="1"/>
      <c r="E44" s="32" t="s">
        <v>7</v>
      </c>
      <c r="F44" s="32"/>
      <c r="G44" s="115">
        <v>22787.68</v>
      </c>
      <c r="H44" s="115">
        <v>12971.06</v>
      </c>
      <c r="I44" s="115">
        <v>711.67</v>
      </c>
      <c r="J44" s="115">
        <v>391.15</v>
      </c>
      <c r="K44" s="16">
        <v>220.67</v>
      </c>
      <c r="L44" s="110">
        <v>11.73</v>
      </c>
      <c r="M44" s="102">
        <v>220</v>
      </c>
      <c r="N44" s="102">
        <v>0</v>
      </c>
      <c r="O44" s="87"/>
    </row>
    <row r="45" spans="1:15" s="86" customFormat="1" ht="12" hidden="1" thickBot="1">
      <c r="A45" s="1"/>
      <c r="B45" s="1"/>
      <c r="C45" s="1"/>
      <c r="D45" s="1"/>
      <c r="E45" s="1" t="s">
        <v>8</v>
      </c>
      <c r="F45" s="1"/>
      <c r="G45" s="40"/>
      <c r="H45" s="40"/>
      <c r="I45" s="40">
        <v>1409.23</v>
      </c>
      <c r="J45" s="40">
        <v>719.17</v>
      </c>
      <c r="K45" s="4">
        <v>0</v>
      </c>
      <c r="L45" s="105">
        <v>0</v>
      </c>
      <c r="M45" s="116">
        <v>0</v>
      </c>
      <c r="N45" s="117">
        <v>0</v>
      </c>
      <c r="O45" s="87"/>
    </row>
    <row r="46" spans="1:15" s="86" customFormat="1" ht="12" thickBot="1">
      <c r="A46" s="1"/>
      <c r="B46" s="1"/>
      <c r="C46" s="1"/>
      <c r="D46" s="1" t="s">
        <v>9</v>
      </c>
      <c r="E46" s="1"/>
      <c r="F46" s="1"/>
      <c r="G46" s="13">
        <f t="shared" ref="G46:L46" si="1">ROUND(SUM(G42:G45),5)</f>
        <v>22787.68</v>
      </c>
      <c r="H46" s="13">
        <f t="shared" si="1"/>
        <v>13933.59</v>
      </c>
      <c r="I46" s="13">
        <f t="shared" si="1"/>
        <v>5434.47</v>
      </c>
      <c r="J46" s="13">
        <f t="shared" si="1"/>
        <v>1287.02</v>
      </c>
      <c r="K46" s="13">
        <f t="shared" si="1"/>
        <v>403.42</v>
      </c>
      <c r="L46" s="118">
        <f t="shared" si="1"/>
        <v>105.24</v>
      </c>
      <c r="M46" s="119">
        <f>SUM(M43:M45)</f>
        <v>400</v>
      </c>
      <c r="N46" s="119">
        <f>SUM(N43:N45)</f>
        <v>0</v>
      </c>
      <c r="O46" s="87"/>
    </row>
    <row r="47" spans="1:15" s="86" customFormat="1" ht="21" customHeight="1" thickBot="1">
      <c r="A47" s="1"/>
      <c r="B47" s="1"/>
      <c r="C47" s="1" t="s">
        <v>20</v>
      </c>
      <c r="D47" s="1"/>
      <c r="E47" s="1"/>
      <c r="F47" s="1"/>
      <c r="G47" s="14">
        <f>ROUND(SUM(G11:G23)+G46+SUM(G27:G27),5)</f>
        <v>689881.08</v>
      </c>
      <c r="H47" s="14">
        <f>ROUND(SUM(H11:H23)+H46+SUM(H27:H27),5)</f>
        <v>668505.57999999996</v>
      </c>
      <c r="I47" s="14">
        <f>ROUND(SUM(I11:I23)+I46+SUM(I27:I27),5)</f>
        <v>789674.66</v>
      </c>
      <c r="J47" s="14">
        <f>ROUND(SUM(J11:J23)+J46+SUM(J27:J27),5)</f>
        <v>775149.02</v>
      </c>
      <c r="K47" s="14">
        <f>ROUND(SUM(K11:K23)+K46+SUM(K27:K27),5)</f>
        <v>887510.08</v>
      </c>
      <c r="L47" s="127">
        <f>(SUM(L11:L13)+(L27+L40+L46))</f>
        <v>828217.37</v>
      </c>
      <c r="M47" s="127">
        <f>(SUM(M11:M13)+(M27+M40+M46))</f>
        <v>927686</v>
      </c>
      <c r="N47" s="127">
        <f>(SUM(N11:N13)+(N27+N40+N41+N46))</f>
        <v>909555.72</v>
      </c>
      <c r="O47" s="34"/>
    </row>
    <row r="48" spans="1:15" s="86" customFormat="1" ht="25.5" hidden="1" customHeight="1" thickBot="1">
      <c r="A48" s="1"/>
      <c r="B48" s="1" t="s">
        <v>186</v>
      </c>
      <c r="C48" s="1"/>
      <c r="D48" s="1"/>
      <c r="E48" s="1"/>
      <c r="F48" s="1"/>
      <c r="G48" s="13">
        <f t="shared" ref="G48:N48" si="2">G47</f>
        <v>689881.08</v>
      </c>
      <c r="H48" s="13">
        <f t="shared" si="2"/>
        <v>668505.57999999996</v>
      </c>
      <c r="I48" s="13">
        <f t="shared" si="2"/>
        <v>789674.66</v>
      </c>
      <c r="J48" s="13">
        <f t="shared" si="2"/>
        <v>775149.02</v>
      </c>
      <c r="K48" s="13">
        <f t="shared" si="2"/>
        <v>887510.08</v>
      </c>
      <c r="L48" s="136">
        <f t="shared" si="2"/>
        <v>828217.37</v>
      </c>
      <c r="M48" s="136">
        <f t="shared" si="2"/>
        <v>927686</v>
      </c>
      <c r="N48" s="136">
        <f t="shared" si="2"/>
        <v>909555.72</v>
      </c>
      <c r="O48" s="34"/>
    </row>
    <row r="49" spans="1:17" s="86" customFormat="1" ht="25.5" customHeight="1">
      <c r="A49" s="1"/>
      <c r="B49" s="1"/>
      <c r="C49" s="1" t="s">
        <v>21</v>
      </c>
      <c r="D49" s="1"/>
      <c r="E49" s="1"/>
      <c r="F49" s="1"/>
      <c r="G49" s="101"/>
      <c r="H49" s="101"/>
      <c r="I49" s="101"/>
      <c r="J49" s="101"/>
      <c r="K49" s="3"/>
      <c r="L49" s="97"/>
      <c r="M49" s="102"/>
      <c r="N49" s="102"/>
      <c r="O49" s="87"/>
      <c r="P49" s="85"/>
      <c r="Q49" s="85"/>
    </row>
    <row r="50" spans="1:17" s="86" customFormat="1" ht="11.25">
      <c r="A50" s="1"/>
      <c r="B50" s="1"/>
      <c r="C50" s="1"/>
      <c r="D50" s="1" t="s">
        <v>200</v>
      </c>
      <c r="E50" s="1"/>
      <c r="F50" s="1"/>
      <c r="G50" s="101"/>
      <c r="H50" s="101"/>
      <c r="I50" s="101"/>
      <c r="J50" s="101"/>
      <c r="K50" s="3"/>
      <c r="L50" s="97"/>
      <c r="M50" s="102"/>
      <c r="N50" s="102"/>
      <c r="O50" s="87"/>
      <c r="P50" s="85"/>
      <c r="Q50" s="85"/>
    </row>
    <row r="51" spans="1:17" s="86" customFormat="1" ht="11.25">
      <c r="A51" s="1"/>
      <c r="B51" s="1"/>
      <c r="C51" s="1"/>
      <c r="D51" s="1"/>
      <c r="E51" s="1" t="s">
        <v>126</v>
      </c>
      <c r="F51" s="1"/>
      <c r="G51" s="101">
        <v>3775</v>
      </c>
      <c r="H51" s="101">
        <v>4324</v>
      </c>
      <c r="I51" s="101">
        <v>4424</v>
      </c>
      <c r="J51" s="101">
        <v>4610</v>
      </c>
      <c r="K51" s="3">
        <v>4913.74</v>
      </c>
      <c r="L51" s="97">
        <v>5544</v>
      </c>
      <c r="M51" s="102">
        <v>6000</v>
      </c>
      <c r="N51" s="102">
        <v>5000</v>
      </c>
      <c r="O51" s="87"/>
      <c r="P51" s="85"/>
      <c r="Q51" s="88"/>
    </row>
    <row r="52" spans="1:17" s="86" customFormat="1" ht="11.25">
      <c r="A52" s="1"/>
      <c r="B52" s="1"/>
      <c r="C52" s="1"/>
      <c r="D52" s="1"/>
      <c r="E52" s="32" t="s">
        <v>180</v>
      </c>
      <c r="F52" s="32"/>
      <c r="G52" s="101"/>
      <c r="H52" s="101"/>
      <c r="I52" s="101"/>
      <c r="J52" s="101"/>
      <c r="K52" s="3"/>
      <c r="L52" s="97">
        <v>0</v>
      </c>
      <c r="M52" s="102">
        <v>2000</v>
      </c>
      <c r="N52" s="102">
        <v>1300</v>
      </c>
      <c r="O52" s="87"/>
      <c r="P52" s="85"/>
      <c r="Q52" s="88"/>
    </row>
    <row r="53" spans="1:17" s="86" customFormat="1" ht="11.25">
      <c r="A53" s="1"/>
      <c r="B53" s="1"/>
      <c r="C53" s="1"/>
      <c r="D53" s="1"/>
      <c r="E53" s="1" t="s">
        <v>22</v>
      </c>
      <c r="F53" s="1"/>
      <c r="G53" s="101"/>
      <c r="H53" s="101"/>
      <c r="I53" s="101">
        <v>-2</v>
      </c>
      <c r="J53" s="101"/>
      <c r="K53" s="3">
        <v>10770.23</v>
      </c>
      <c r="L53" s="97">
        <v>0</v>
      </c>
      <c r="M53" s="102">
        <v>0</v>
      </c>
      <c r="N53" s="102">
        <v>2000</v>
      </c>
      <c r="O53" s="87"/>
      <c r="P53" s="85"/>
      <c r="Q53" s="88"/>
    </row>
    <row r="54" spans="1:17" s="86" customFormat="1" ht="11.25">
      <c r="A54" s="1"/>
      <c r="B54" s="1"/>
      <c r="C54" s="1"/>
      <c r="D54" s="1"/>
      <c r="E54" s="1" t="s">
        <v>23</v>
      </c>
      <c r="F54" s="1"/>
      <c r="G54" s="101">
        <v>818.02</v>
      </c>
      <c r="H54" s="101">
        <v>915.09</v>
      </c>
      <c r="I54" s="101">
        <v>316.75</v>
      </c>
      <c r="J54" s="101">
        <v>296.95</v>
      </c>
      <c r="K54" s="3">
        <v>303.5</v>
      </c>
      <c r="L54" s="97">
        <v>91.6</v>
      </c>
      <c r="M54" s="102">
        <v>350</v>
      </c>
      <c r="N54" s="102">
        <v>300</v>
      </c>
      <c r="O54" s="87"/>
      <c r="P54" s="85"/>
      <c r="Q54" s="88"/>
    </row>
    <row r="55" spans="1:17" s="86" customFormat="1" ht="11.25">
      <c r="A55" s="1"/>
      <c r="B55" s="1"/>
      <c r="C55" s="1"/>
      <c r="D55" s="1"/>
      <c r="E55" s="1" t="s">
        <v>24</v>
      </c>
      <c r="F55" s="1"/>
      <c r="G55" s="101"/>
      <c r="H55" s="101">
        <v>1401</v>
      </c>
      <c r="I55" s="101">
        <v>529.79999999999995</v>
      </c>
      <c r="J55" s="101">
        <v>1613</v>
      </c>
      <c r="K55" s="3">
        <v>1792.98</v>
      </c>
      <c r="L55" s="97">
        <v>976.5</v>
      </c>
      <c r="M55" s="102">
        <v>0</v>
      </c>
      <c r="N55" s="102">
        <v>0</v>
      </c>
      <c r="O55" s="87"/>
      <c r="P55" s="85"/>
      <c r="Q55" s="88"/>
    </row>
    <row r="56" spans="1:17" s="86" customFormat="1" ht="11.25">
      <c r="A56" s="1"/>
      <c r="B56" s="1"/>
      <c r="C56" s="1"/>
      <c r="D56" s="1"/>
      <c r="E56" s="1" t="s">
        <v>167</v>
      </c>
      <c r="F56" s="9"/>
      <c r="G56" s="101"/>
      <c r="H56" s="101"/>
      <c r="I56" s="101"/>
      <c r="J56" s="101"/>
      <c r="K56" s="3"/>
      <c r="L56" s="97">
        <v>2151.83</v>
      </c>
      <c r="M56" s="102">
        <v>1000</v>
      </c>
      <c r="N56" s="102">
        <v>1000</v>
      </c>
      <c r="O56" s="87"/>
      <c r="P56" s="85"/>
      <c r="Q56" s="88"/>
    </row>
    <row r="57" spans="1:17" s="86" customFormat="1" ht="11.25">
      <c r="A57" s="1"/>
      <c r="B57" s="1"/>
      <c r="C57" s="1"/>
      <c r="D57" s="1"/>
      <c r="E57" s="1" t="s">
        <v>25</v>
      </c>
      <c r="F57" s="1"/>
      <c r="G57" s="101">
        <v>375</v>
      </c>
      <c r="H57" s="101">
        <v>130</v>
      </c>
      <c r="I57" s="101">
        <v>130</v>
      </c>
      <c r="J57" s="101">
        <v>120</v>
      </c>
      <c r="K57" s="3">
        <v>130</v>
      </c>
      <c r="L57" s="97">
        <v>130</v>
      </c>
      <c r="M57" s="102">
        <v>150</v>
      </c>
      <c r="N57" s="102">
        <v>150</v>
      </c>
      <c r="O57" s="87"/>
      <c r="P57" s="85"/>
      <c r="Q57" s="88"/>
    </row>
    <row r="58" spans="1:17" s="86" customFormat="1" ht="11.25">
      <c r="A58" s="1"/>
      <c r="B58" s="1"/>
      <c r="C58" s="1"/>
      <c r="D58" s="1"/>
      <c r="E58" s="1" t="s">
        <v>26</v>
      </c>
      <c r="F58" s="1"/>
      <c r="G58" s="101"/>
      <c r="H58" s="101"/>
      <c r="I58" s="101"/>
      <c r="J58" s="101"/>
      <c r="K58" s="3">
        <v>0</v>
      </c>
      <c r="L58" s="97">
        <v>0</v>
      </c>
      <c r="M58" s="102">
        <v>500</v>
      </c>
      <c r="N58" s="102">
        <v>150</v>
      </c>
      <c r="O58" s="87"/>
      <c r="P58" s="85"/>
      <c r="Q58" s="88"/>
    </row>
    <row r="59" spans="1:17" s="86" customFormat="1" ht="11.25">
      <c r="A59" s="1"/>
      <c r="B59" s="1"/>
      <c r="C59" s="1"/>
      <c r="D59" s="1"/>
      <c r="E59" s="1" t="s">
        <v>190</v>
      </c>
      <c r="F59" s="1"/>
      <c r="G59" s="101"/>
      <c r="H59" s="101">
        <v>1.21</v>
      </c>
      <c r="I59" s="101">
        <v>768.17</v>
      </c>
      <c r="J59" s="101">
        <v>897.63</v>
      </c>
      <c r="K59" s="3">
        <v>939.9</v>
      </c>
      <c r="L59" s="97">
        <v>885.9</v>
      </c>
      <c r="M59" s="102">
        <v>1000</v>
      </c>
      <c r="N59" s="102">
        <v>1000</v>
      </c>
      <c r="O59" s="87"/>
      <c r="P59" s="85"/>
      <c r="Q59" s="88"/>
    </row>
    <row r="60" spans="1:17" s="86" customFormat="1" ht="11.25">
      <c r="A60" s="1"/>
      <c r="B60" s="1"/>
      <c r="C60" s="1"/>
      <c r="D60" s="1"/>
      <c r="E60" s="1" t="s">
        <v>27</v>
      </c>
      <c r="F60" s="1"/>
      <c r="G60" s="101">
        <v>1101.1199999999999</v>
      </c>
      <c r="H60" s="101">
        <v>1845.36</v>
      </c>
      <c r="I60" s="101">
        <v>1902.36</v>
      </c>
      <c r="J60" s="101">
        <v>1124.19</v>
      </c>
      <c r="K60" s="3">
        <v>0</v>
      </c>
      <c r="L60" s="97">
        <v>1167.83</v>
      </c>
      <c r="M60" s="102">
        <v>500</v>
      </c>
      <c r="N60" s="102">
        <v>500</v>
      </c>
      <c r="O60" s="87"/>
      <c r="P60" s="85"/>
      <c r="Q60" s="88"/>
    </row>
    <row r="61" spans="1:17" s="86" customFormat="1" ht="11.25">
      <c r="A61" s="1"/>
      <c r="B61" s="1"/>
      <c r="C61" s="1"/>
      <c r="D61" s="1"/>
      <c r="E61" s="1" t="s">
        <v>28</v>
      </c>
      <c r="F61" s="1"/>
      <c r="G61" s="101">
        <v>4487.17</v>
      </c>
      <c r="H61" s="101">
        <v>2816.27</v>
      </c>
      <c r="I61" s="101">
        <v>4945.68</v>
      </c>
      <c r="J61" s="101">
        <v>2852.75</v>
      </c>
      <c r="K61" s="3">
        <v>6254.57</v>
      </c>
      <c r="L61" s="97">
        <v>3491.87</v>
      </c>
      <c r="M61" s="102">
        <v>6500</v>
      </c>
      <c r="N61" s="102">
        <v>6000</v>
      </c>
      <c r="O61" s="87"/>
      <c r="P61" s="85"/>
      <c r="Q61" s="88"/>
    </row>
    <row r="62" spans="1:17" s="86" customFormat="1" ht="11.25">
      <c r="A62" s="1"/>
      <c r="B62" s="1"/>
      <c r="C62" s="1"/>
      <c r="D62" s="1"/>
      <c r="E62" s="1" t="s">
        <v>29</v>
      </c>
      <c r="F62" s="1"/>
      <c r="G62" s="101"/>
      <c r="H62" s="101"/>
      <c r="I62" s="101">
        <v>605.48</v>
      </c>
      <c r="J62" s="101"/>
      <c r="K62" s="3">
        <v>0</v>
      </c>
      <c r="L62" s="97">
        <v>0</v>
      </c>
      <c r="M62" s="102">
        <v>200</v>
      </c>
      <c r="N62" s="102">
        <v>200</v>
      </c>
      <c r="O62" s="87"/>
      <c r="P62" s="85"/>
      <c r="Q62" s="88"/>
    </row>
    <row r="63" spans="1:17" s="86" customFormat="1" ht="11.25">
      <c r="A63" s="1"/>
      <c r="B63" s="1"/>
      <c r="C63" s="1"/>
      <c r="D63" s="1"/>
      <c r="E63" s="1" t="s">
        <v>30</v>
      </c>
      <c r="F63" s="1"/>
      <c r="G63" s="101"/>
      <c r="H63" s="101"/>
      <c r="I63" s="101"/>
      <c r="J63" s="101"/>
      <c r="K63" s="3">
        <v>0</v>
      </c>
      <c r="L63" s="97">
        <v>3255</v>
      </c>
      <c r="M63" s="102">
        <v>2500</v>
      </c>
      <c r="N63" s="102">
        <v>5000</v>
      </c>
      <c r="O63" s="87"/>
      <c r="P63" s="85"/>
      <c r="Q63" s="88"/>
    </row>
    <row r="64" spans="1:17" s="86" customFormat="1" ht="11.25">
      <c r="A64" s="1"/>
      <c r="B64" s="1"/>
      <c r="C64" s="1"/>
      <c r="D64" s="1"/>
      <c r="E64" s="1" t="s">
        <v>242</v>
      </c>
      <c r="F64" s="1"/>
      <c r="G64" s="101"/>
      <c r="H64" s="101"/>
      <c r="I64" s="101"/>
      <c r="J64" s="101"/>
      <c r="K64" s="3"/>
      <c r="L64" s="97"/>
      <c r="M64" s="102"/>
      <c r="N64" s="102"/>
      <c r="O64" s="87"/>
      <c r="P64" s="85"/>
      <c r="Q64" s="88"/>
    </row>
    <row r="65" spans="1:17" s="86" customFormat="1" ht="11.25">
      <c r="A65" s="1"/>
      <c r="B65" s="1"/>
      <c r="C65" s="1"/>
      <c r="D65" s="1"/>
      <c r="E65" s="1"/>
      <c r="F65" s="1" t="s">
        <v>32</v>
      </c>
      <c r="G65" s="101">
        <v>2738</v>
      </c>
      <c r="H65" s="101">
        <v>2738</v>
      </c>
      <c r="I65" s="101">
        <v>2732</v>
      </c>
      <c r="J65" s="101">
        <v>2528</v>
      </c>
      <c r="K65" s="3">
        <v>2550</v>
      </c>
      <c r="L65" s="97">
        <v>55.3</v>
      </c>
      <c r="M65" s="102">
        <v>2700</v>
      </c>
      <c r="N65" s="102">
        <v>2785</v>
      </c>
      <c r="O65" s="87" t="s">
        <v>284</v>
      </c>
      <c r="P65" s="85"/>
      <c r="Q65" s="88"/>
    </row>
    <row r="66" spans="1:17" s="86" customFormat="1" ht="11.25">
      <c r="A66" s="1"/>
      <c r="B66" s="1"/>
      <c r="C66" s="1"/>
      <c r="D66" s="1"/>
      <c r="E66" s="1"/>
      <c r="F66" s="1" t="s">
        <v>177</v>
      </c>
      <c r="G66" s="101">
        <v>479</v>
      </c>
      <c r="H66" s="101">
        <v>0</v>
      </c>
      <c r="I66" s="101"/>
      <c r="J66" s="101">
        <v>456</v>
      </c>
      <c r="K66" s="3">
        <v>456</v>
      </c>
      <c r="L66" s="97">
        <v>0</v>
      </c>
      <c r="M66" s="102">
        <v>460</v>
      </c>
      <c r="N66" s="102">
        <v>460</v>
      </c>
      <c r="O66" s="87"/>
      <c r="P66" s="85"/>
      <c r="Q66" s="88"/>
    </row>
    <row r="67" spans="1:17" s="86" customFormat="1" ht="11.25">
      <c r="A67" s="1"/>
      <c r="B67" s="1"/>
      <c r="C67" s="1"/>
      <c r="D67" s="1"/>
      <c r="E67" s="1"/>
      <c r="F67" s="1" t="s">
        <v>175</v>
      </c>
      <c r="G67" s="101">
        <v>17831</v>
      </c>
      <c r="H67" s="101">
        <v>18735.5</v>
      </c>
      <c r="I67" s="101">
        <v>21881</v>
      </c>
      <c r="J67" s="101">
        <v>20604</v>
      </c>
      <c r="K67" s="3">
        <v>6998</v>
      </c>
      <c r="L67" s="97">
        <v>7226</v>
      </c>
      <c r="M67" s="102">
        <v>10500</v>
      </c>
      <c r="N67" s="102">
        <v>10300</v>
      </c>
      <c r="O67" s="87" t="s">
        <v>284</v>
      </c>
      <c r="P67" s="85"/>
      <c r="Q67" s="88"/>
    </row>
    <row r="68" spans="1:17" s="86" customFormat="1" ht="12" thickBot="1">
      <c r="A68" s="1"/>
      <c r="B68" s="1"/>
      <c r="C68" s="1"/>
      <c r="D68" s="1"/>
      <c r="E68" s="1"/>
      <c r="F68" s="1" t="s">
        <v>176</v>
      </c>
      <c r="G68" s="40">
        <v>339.5</v>
      </c>
      <c r="H68" s="40">
        <v>239.5</v>
      </c>
      <c r="I68" s="40"/>
      <c r="J68" s="40">
        <v>3041</v>
      </c>
      <c r="K68" s="4">
        <v>-4500.6000000000004</v>
      </c>
      <c r="L68" s="105"/>
      <c r="M68" s="116">
        <v>9500</v>
      </c>
      <c r="N68" s="116">
        <v>9270</v>
      </c>
      <c r="O68" s="87" t="s">
        <v>284</v>
      </c>
      <c r="P68" s="85"/>
      <c r="Q68" s="88"/>
    </row>
    <row r="69" spans="1:17" s="86" customFormat="1" ht="11.25">
      <c r="A69" s="1"/>
      <c r="B69" s="1"/>
      <c r="C69" s="1"/>
      <c r="D69" s="1"/>
      <c r="E69" s="1" t="s">
        <v>33</v>
      </c>
      <c r="F69" s="1"/>
      <c r="G69" s="13">
        <f t="shared" ref="G69:N69" si="3">ROUND(SUM(G64:G68),5)</f>
        <v>21387.5</v>
      </c>
      <c r="H69" s="13">
        <f t="shared" si="3"/>
        <v>21713</v>
      </c>
      <c r="I69" s="13">
        <f t="shared" si="3"/>
        <v>24613</v>
      </c>
      <c r="J69" s="13">
        <f t="shared" si="3"/>
        <v>26629</v>
      </c>
      <c r="K69" s="13">
        <f t="shared" si="3"/>
        <v>5503.4</v>
      </c>
      <c r="L69" s="108">
        <f t="shared" si="3"/>
        <v>7281.3</v>
      </c>
      <c r="M69" s="108">
        <f t="shared" si="3"/>
        <v>23160</v>
      </c>
      <c r="N69" s="108">
        <f t="shared" si="3"/>
        <v>22815</v>
      </c>
      <c r="O69" s="34"/>
      <c r="P69" s="85"/>
      <c r="Q69" s="88"/>
    </row>
    <row r="70" spans="1:17" s="86" customFormat="1" ht="25.5" customHeight="1">
      <c r="A70" s="1"/>
      <c r="B70" s="1"/>
      <c r="C70" s="1"/>
      <c r="D70" s="1"/>
      <c r="E70" s="1" t="s">
        <v>245</v>
      </c>
      <c r="F70" s="1"/>
      <c r="G70" s="101"/>
      <c r="H70" s="101"/>
      <c r="I70" s="101"/>
      <c r="J70" s="101"/>
      <c r="K70" s="3"/>
      <c r="L70" s="97"/>
      <c r="M70" s="102"/>
      <c r="N70" s="102"/>
      <c r="O70" s="87"/>
      <c r="P70" s="85"/>
      <c r="Q70" s="88"/>
    </row>
    <row r="71" spans="1:17" s="86" customFormat="1" ht="11.25">
      <c r="A71" s="1"/>
      <c r="B71" s="1"/>
      <c r="C71" s="1"/>
      <c r="D71" s="1"/>
      <c r="E71" s="1"/>
      <c r="F71" s="1" t="s">
        <v>156</v>
      </c>
      <c r="G71" s="101">
        <v>15034.97</v>
      </c>
      <c r="H71" s="101">
        <v>12940.79</v>
      </c>
      <c r="I71" s="101">
        <v>22213.040000000001</v>
      </c>
      <c r="J71" s="101">
        <v>18630.59</v>
      </c>
      <c r="K71" s="3">
        <v>18255.43</v>
      </c>
      <c r="L71" s="97">
        <v>17170.3</v>
      </c>
      <c r="M71" s="102">
        <v>18000</v>
      </c>
      <c r="N71" s="102">
        <v>18000</v>
      </c>
      <c r="O71" s="87"/>
      <c r="P71" s="85"/>
      <c r="Q71" s="120"/>
    </row>
    <row r="72" spans="1:17" s="86" customFormat="1" ht="12" thickBot="1">
      <c r="A72" s="1"/>
      <c r="B72" s="1"/>
      <c r="C72" s="1"/>
      <c r="D72" s="1"/>
      <c r="E72" s="1"/>
      <c r="F72" s="1" t="s">
        <v>34</v>
      </c>
      <c r="G72" s="103">
        <v>5840.2</v>
      </c>
      <c r="H72" s="103">
        <v>6038.92</v>
      </c>
      <c r="I72" s="103">
        <v>7191.88</v>
      </c>
      <c r="J72" s="103">
        <v>25167.4</v>
      </c>
      <c r="K72" s="15">
        <v>18639.689999999999</v>
      </c>
      <c r="L72" s="105">
        <v>4780.9799999999996</v>
      </c>
      <c r="M72" s="116">
        <v>12000</v>
      </c>
      <c r="N72" s="116">
        <v>12000</v>
      </c>
      <c r="O72" s="87"/>
      <c r="P72" s="85"/>
      <c r="Q72" s="120"/>
    </row>
    <row r="73" spans="1:17" s="86" customFormat="1" ht="11.25">
      <c r="A73" s="1"/>
      <c r="B73" s="1"/>
      <c r="C73" s="1"/>
      <c r="D73" s="1"/>
      <c r="E73" s="1" t="s">
        <v>35</v>
      </c>
      <c r="F73" s="1"/>
      <c r="G73" s="70">
        <f t="shared" ref="G73:N73" si="4">ROUND(SUM(G70:G72),5)</f>
        <v>20875.169999999998</v>
      </c>
      <c r="H73" s="70">
        <f t="shared" si="4"/>
        <v>18979.71</v>
      </c>
      <c r="I73" s="70">
        <f t="shared" si="4"/>
        <v>29404.92</v>
      </c>
      <c r="J73" s="70">
        <f t="shared" si="4"/>
        <v>43797.99</v>
      </c>
      <c r="K73" s="70">
        <f t="shared" si="4"/>
        <v>36895.120000000003</v>
      </c>
      <c r="L73" s="108">
        <f t="shared" si="4"/>
        <v>21951.279999999999</v>
      </c>
      <c r="M73" s="108">
        <f t="shared" si="4"/>
        <v>30000</v>
      </c>
      <c r="N73" s="108">
        <f t="shared" si="4"/>
        <v>30000</v>
      </c>
      <c r="O73" s="34"/>
      <c r="P73" s="85"/>
      <c r="Q73" s="88"/>
    </row>
    <row r="74" spans="1:17" s="86" customFormat="1" ht="20.25" customHeight="1">
      <c r="A74" s="1"/>
      <c r="B74" s="1"/>
      <c r="C74" s="1"/>
      <c r="D74" s="1"/>
      <c r="E74" s="1" t="s">
        <v>36</v>
      </c>
      <c r="F74" s="1"/>
      <c r="G74" s="101">
        <v>139.84</v>
      </c>
      <c r="H74" s="101">
        <v>102.96</v>
      </c>
      <c r="I74" s="101">
        <v>1579.73</v>
      </c>
      <c r="J74" s="101">
        <v>458.85</v>
      </c>
      <c r="K74" s="3">
        <v>3640.82</v>
      </c>
      <c r="L74" s="97">
        <v>693.25</v>
      </c>
      <c r="M74" s="102">
        <v>1500</v>
      </c>
      <c r="N74" s="102">
        <v>1000</v>
      </c>
      <c r="O74" s="87"/>
      <c r="P74" s="85"/>
      <c r="Q74" s="88"/>
    </row>
    <row r="75" spans="1:17" s="86" customFormat="1" ht="11.25">
      <c r="A75" s="1"/>
      <c r="B75" s="1"/>
      <c r="C75" s="1"/>
      <c r="D75" s="1"/>
      <c r="E75" s="1" t="s">
        <v>37</v>
      </c>
      <c r="F75" s="1"/>
      <c r="G75" s="101"/>
      <c r="H75" s="101"/>
      <c r="I75" s="101"/>
      <c r="J75" s="101"/>
      <c r="K75" s="3"/>
      <c r="L75" s="97"/>
      <c r="M75" s="102"/>
      <c r="N75" s="102"/>
      <c r="O75" s="87"/>
      <c r="P75" s="85"/>
      <c r="Q75" s="88"/>
    </row>
    <row r="76" spans="1:17" s="86" customFormat="1" ht="11.25">
      <c r="A76" s="1"/>
      <c r="B76" s="1"/>
      <c r="C76" s="1"/>
      <c r="D76" s="1"/>
      <c r="E76" s="1"/>
      <c r="F76" s="32" t="s">
        <v>91</v>
      </c>
      <c r="G76" s="101">
        <v>0</v>
      </c>
      <c r="H76" s="101">
        <v>0</v>
      </c>
      <c r="I76" s="101">
        <v>25</v>
      </c>
      <c r="J76" s="101">
        <v>0</v>
      </c>
      <c r="K76" s="3">
        <v>25</v>
      </c>
      <c r="L76" s="97">
        <v>167.92</v>
      </c>
      <c r="M76" s="102">
        <v>100</v>
      </c>
      <c r="N76" s="102">
        <v>150</v>
      </c>
      <c r="O76" s="87"/>
      <c r="P76" s="85"/>
      <c r="Q76" s="88"/>
    </row>
    <row r="77" spans="1:17" s="86" customFormat="1" ht="11.25">
      <c r="A77" s="1"/>
      <c r="B77" s="1"/>
      <c r="C77" s="1"/>
      <c r="D77" s="1"/>
      <c r="E77" s="1"/>
      <c r="F77" s="1" t="s">
        <v>38</v>
      </c>
      <c r="G77" s="101">
        <v>0</v>
      </c>
      <c r="H77" s="101">
        <v>0</v>
      </c>
      <c r="I77" s="101">
        <v>95.37</v>
      </c>
      <c r="J77" s="101">
        <v>106.11</v>
      </c>
      <c r="K77" s="3">
        <v>20.79</v>
      </c>
      <c r="L77" s="97">
        <v>92.96</v>
      </c>
      <c r="M77" s="102">
        <v>100</v>
      </c>
      <c r="N77" s="102">
        <v>100</v>
      </c>
      <c r="O77" s="87"/>
      <c r="P77" s="85"/>
      <c r="Q77" s="88"/>
    </row>
    <row r="78" spans="1:17" s="86" customFormat="1" ht="11.25">
      <c r="A78" s="1"/>
      <c r="B78" s="1"/>
      <c r="C78" s="1"/>
      <c r="D78" s="1"/>
      <c r="E78" s="1"/>
      <c r="F78" s="1" t="s">
        <v>210</v>
      </c>
      <c r="G78" s="101"/>
      <c r="H78" s="101"/>
      <c r="I78" s="101"/>
      <c r="J78" s="101"/>
      <c r="K78" s="3"/>
      <c r="L78" s="97">
        <v>58.19</v>
      </c>
      <c r="M78" s="102">
        <v>200</v>
      </c>
      <c r="N78" s="102">
        <v>250</v>
      </c>
      <c r="O78" s="87"/>
      <c r="P78" s="85"/>
      <c r="Q78" s="88"/>
    </row>
    <row r="79" spans="1:17" s="86" customFormat="1" ht="11.25">
      <c r="A79" s="1"/>
      <c r="B79" s="1"/>
      <c r="C79" s="1"/>
      <c r="D79" s="1"/>
      <c r="E79" s="1"/>
      <c r="F79" s="1" t="s">
        <v>138</v>
      </c>
      <c r="G79" s="101"/>
      <c r="H79" s="101"/>
      <c r="I79" s="101"/>
      <c r="J79" s="101"/>
      <c r="K79" s="3"/>
      <c r="L79" s="97">
        <v>0</v>
      </c>
      <c r="M79" s="102">
        <v>200</v>
      </c>
      <c r="N79" s="102">
        <v>200</v>
      </c>
      <c r="O79" s="87"/>
      <c r="P79" s="85"/>
      <c r="Q79" s="88"/>
    </row>
    <row r="80" spans="1:17" s="86" customFormat="1" ht="12" thickBot="1">
      <c r="A80" s="1"/>
      <c r="B80" s="1"/>
      <c r="C80" s="1"/>
      <c r="D80" s="1"/>
      <c r="E80" s="1"/>
      <c r="F80" s="1" t="s">
        <v>160</v>
      </c>
      <c r="G80" s="40">
        <v>5596.54</v>
      </c>
      <c r="H80" s="40">
        <v>6498.3</v>
      </c>
      <c r="I80" s="40">
        <v>2147.29</v>
      </c>
      <c r="J80" s="40">
        <v>612.54999999999995</v>
      </c>
      <c r="K80" s="4">
        <v>958.07</v>
      </c>
      <c r="L80" s="105">
        <v>1048.6400000000001</v>
      </c>
      <c r="M80" s="116">
        <v>500</v>
      </c>
      <c r="N80" s="116">
        <v>500</v>
      </c>
      <c r="O80" s="87"/>
      <c r="P80" s="85"/>
      <c r="Q80" s="88"/>
    </row>
    <row r="81" spans="1:17" s="86" customFormat="1" ht="11.25">
      <c r="A81" s="1"/>
      <c r="B81" s="1"/>
      <c r="C81" s="1"/>
      <c r="D81" s="1"/>
      <c r="E81" s="1" t="s">
        <v>39</v>
      </c>
      <c r="F81" s="1"/>
      <c r="G81" s="13">
        <f t="shared" ref="G81:N81" si="5">ROUND(SUM(G75:G80),5)</f>
        <v>5596.54</v>
      </c>
      <c r="H81" s="13">
        <f t="shared" si="5"/>
        <v>6498.3</v>
      </c>
      <c r="I81" s="13">
        <f t="shared" si="5"/>
        <v>2267.66</v>
      </c>
      <c r="J81" s="13">
        <f t="shared" si="5"/>
        <v>718.66</v>
      </c>
      <c r="K81" s="13">
        <f t="shared" si="5"/>
        <v>1003.86</v>
      </c>
      <c r="L81" s="108">
        <f t="shared" si="5"/>
        <v>1367.71</v>
      </c>
      <c r="M81" s="108">
        <f t="shared" si="5"/>
        <v>1100</v>
      </c>
      <c r="N81" s="108">
        <f t="shared" si="5"/>
        <v>1200</v>
      </c>
      <c r="O81" s="34"/>
      <c r="P81" s="85"/>
      <c r="Q81" s="88"/>
    </row>
    <row r="82" spans="1:17" s="86" customFormat="1" ht="25.5" customHeight="1">
      <c r="A82" s="1"/>
      <c r="B82" s="1"/>
      <c r="C82" s="1"/>
      <c r="D82" s="1"/>
      <c r="E82" s="1" t="s">
        <v>40</v>
      </c>
      <c r="F82" s="1"/>
      <c r="G82" s="101">
        <v>2613.9699999999998</v>
      </c>
      <c r="H82" s="101">
        <v>2583.58</v>
      </c>
      <c r="I82" s="101">
        <v>782.53</v>
      </c>
      <c r="J82" s="101">
        <v>2925.07</v>
      </c>
      <c r="K82" s="3">
        <v>834.12</v>
      </c>
      <c r="L82" s="97">
        <v>818.56</v>
      </c>
      <c r="M82" s="102">
        <v>1000</v>
      </c>
      <c r="N82" s="102">
        <v>1000</v>
      </c>
      <c r="O82" s="87"/>
      <c r="P82" s="85"/>
      <c r="Q82" s="88"/>
    </row>
    <row r="83" spans="1:17" s="86" customFormat="1" ht="11.25">
      <c r="A83" s="1"/>
      <c r="B83" s="1"/>
      <c r="C83" s="1"/>
      <c r="D83" s="1"/>
      <c r="E83" s="1" t="s">
        <v>159</v>
      </c>
      <c r="F83" s="1"/>
      <c r="G83" s="101">
        <v>530</v>
      </c>
      <c r="H83" s="101">
        <v>530</v>
      </c>
      <c r="I83" s="101">
        <v>1060</v>
      </c>
      <c r="J83" s="101">
        <v>530</v>
      </c>
      <c r="K83" s="3">
        <v>530</v>
      </c>
      <c r="L83" s="97">
        <v>595</v>
      </c>
      <c r="M83" s="102">
        <v>550</v>
      </c>
      <c r="N83" s="102">
        <v>600</v>
      </c>
      <c r="O83" s="87"/>
      <c r="P83" s="85"/>
      <c r="Q83" s="88"/>
    </row>
    <row r="84" spans="1:17" s="86" customFormat="1" ht="16.5" customHeight="1">
      <c r="A84" s="1"/>
      <c r="B84" s="1"/>
      <c r="C84" s="1"/>
      <c r="D84" s="1"/>
      <c r="E84" s="1" t="s">
        <v>15</v>
      </c>
      <c r="F84" s="1"/>
      <c r="G84" s="101"/>
      <c r="H84" s="101"/>
      <c r="I84" s="101"/>
      <c r="J84" s="101"/>
      <c r="K84" s="3"/>
      <c r="L84" s="97"/>
      <c r="M84" s="102"/>
      <c r="N84" s="102"/>
      <c r="O84" s="87"/>
      <c r="P84" s="85"/>
      <c r="Q84" s="88"/>
    </row>
    <row r="85" spans="1:17" s="86" customFormat="1" ht="11.25">
      <c r="A85" s="1"/>
      <c r="B85" s="1"/>
      <c r="C85" s="1"/>
      <c r="D85" s="1"/>
      <c r="E85" s="1"/>
      <c r="F85" s="1" t="s">
        <v>41</v>
      </c>
      <c r="G85" s="101">
        <v>46</v>
      </c>
      <c r="H85" s="101">
        <v>236.64</v>
      </c>
      <c r="I85" s="101">
        <v>441.26</v>
      </c>
      <c r="J85" s="101">
        <v>70</v>
      </c>
      <c r="K85" s="3">
        <v>70</v>
      </c>
      <c r="L85" s="97">
        <v>70</v>
      </c>
      <c r="M85" s="102">
        <v>80</v>
      </c>
      <c r="N85" s="102">
        <v>80</v>
      </c>
      <c r="O85" s="87"/>
      <c r="P85" s="85"/>
      <c r="Q85" s="88"/>
    </row>
    <row r="86" spans="1:17" s="86" customFormat="1" ht="12" thickBot="1">
      <c r="A86" s="1"/>
      <c r="B86" s="1"/>
      <c r="C86" s="1"/>
      <c r="D86" s="1"/>
      <c r="E86" s="1"/>
      <c r="F86" s="1" t="s">
        <v>42</v>
      </c>
      <c r="G86" s="101">
        <v>1884.62</v>
      </c>
      <c r="H86" s="101">
        <v>1425.41</v>
      </c>
      <c r="I86" s="101">
        <v>1293.81</v>
      </c>
      <c r="J86" s="101">
        <v>1823.1</v>
      </c>
      <c r="K86" s="3">
        <v>2995.53</v>
      </c>
      <c r="L86" s="105">
        <v>2163.0300000000002</v>
      </c>
      <c r="M86" s="116">
        <v>2500</v>
      </c>
      <c r="N86" s="116">
        <v>2500</v>
      </c>
      <c r="O86" s="87"/>
      <c r="P86" s="85"/>
      <c r="Q86" s="88"/>
    </row>
    <row r="87" spans="1:17" s="86" customFormat="1" ht="11.25">
      <c r="A87" s="1"/>
      <c r="B87" s="1"/>
      <c r="C87" s="1"/>
      <c r="D87" s="1"/>
      <c r="E87" s="1" t="s">
        <v>43</v>
      </c>
      <c r="F87" s="1"/>
      <c r="G87" s="70">
        <f t="shared" ref="G87:N87" si="6">ROUND(SUM(G84:G86),5)</f>
        <v>1930.62</v>
      </c>
      <c r="H87" s="70">
        <f t="shared" si="6"/>
        <v>1662.05</v>
      </c>
      <c r="I87" s="70">
        <f t="shared" si="6"/>
        <v>1735.07</v>
      </c>
      <c r="J87" s="70">
        <f t="shared" si="6"/>
        <v>1893.1</v>
      </c>
      <c r="K87" s="70">
        <f t="shared" si="6"/>
        <v>3065.53</v>
      </c>
      <c r="L87" s="108">
        <f t="shared" si="6"/>
        <v>2233.0300000000002</v>
      </c>
      <c r="M87" s="108">
        <f t="shared" si="6"/>
        <v>2580</v>
      </c>
      <c r="N87" s="108">
        <f t="shared" si="6"/>
        <v>2580</v>
      </c>
      <c r="O87" s="34"/>
      <c r="P87" s="85"/>
      <c r="Q87" s="88"/>
    </row>
    <row r="88" spans="1:17" s="86" customFormat="1" ht="20.25" customHeight="1">
      <c r="A88" s="1"/>
      <c r="B88" s="1"/>
      <c r="C88" s="1"/>
      <c r="D88" s="1"/>
      <c r="E88" s="1" t="s">
        <v>44</v>
      </c>
      <c r="F88" s="1"/>
      <c r="G88" s="101">
        <v>3721.81</v>
      </c>
      <c r="H88" s="101">
        <v>4326.8999999999996</v>
      </c>
      <c r="I88" s="101">
        <v>2785.44</v>
      </c>
      <c r="J88" s="101">
        <v>3927.38</v>
      </c>
      <c r="K88" s="3">
        <v>3247.68</v>
      </c>
      <c r="L88" s="97">
        <v>2454.15</v>
      </c>
      <c r="M88" s="102">
        <v>1000</v>
      </c>
      <c r="N88" s="102">
        <v>1000</v>
      </c>
      <c r="O88" s="87"/>
      <c r="P88" s="85"/>
      <c r="Q88" s="88"/>
    </row>
    <row r="89" spans="1:17" s="86" customFormat="1" ht="16.5" customHeight="1">
      <c r="A89" s="1"/>
      <c r="B89" s="1"/>
      <c r="C89" s="1"/>
      <c r="D89" s="1"/>
      <c r="E89" s="1" t="s">
        <v>45</v>
      </c>
      <c r="F89" s="1"/>
      <c r="G89" s="101"/>
      <c r="H89" s="101"/>
      <c r="I89" s="101"/>
      <c r="J89" s="101"/>
      <c r="K89" s="3"/>
      <c r="L89" s="97"/>
      <c r="M89" s="102"/>
      <c r="N89" s="102"/>
      <c r="O89" s="87"/>
      <c r="P89" s="85"/>
      <c r="Q89" s="88"/>
    </row>
    <row r="90" spans="1:17" s="86" customFormat="1" ht="11.25">
      <c r="A90" s="1"/>
      <c r="B90" s="1"/>
      <c r="C90" s="1"/>
      <c r="D90" s="1"/>
      <c r="E90" s="1"/>
      <c r="F90" s="1" t="s">
        <v>46</v>
      </c>
      <c r="G90" s="101"/>
      <c r="H90" s="101">
        <v>-935.75</v>
      </c>
      <c r="I90" s="101">
        <v>-5248.8</v>
      </c>
      <c r="J90" s="101">
        <v>-3592.8</v>
      </c>
      <c r="K90" s="3">
        <v>-3406.8</v>
      </c>
      <c r="L90" s="97">
        <v>-44</v>
      </c>
      <c r="M90" s="102">
        <v>0</v>
      </c>
      <c r="N90" s="102">
        <v>0</v>
      </c>
      <c r="O90" s="87"/>
      <c r="P90" s="85"/>
      <c r="Q90" s="88"/>
    </row>
    <row r="91" spans="1:17" s="86" customFormat="1" ht="11.25">
      <c r="A91" s="1"/>
      <c r="B91" s="1"/>
      <c r="C91" s="1"/>
      <c r="D91" s="1"/>
      <c r="E91" s="1"/>
      <c r="F91" s="1" t="s">
        <v>47</v>
      </c>
      <c r="G91" s="101">
        <v>3255.8</v>
      </c>
      <c r="H91" s="101">
        <v>2302.54</v>
      </c>
      <c r="I91" s="101">
        <v>4723.29</v>
      </c>
      <c r="J91" s="101">
        <v>6796.43</v>
      </c>
      <c r="K91" s="3">
        <v>7709.3</v>
      </c>
      <c r="L91" s="97">
        <v>10134.73</v>
      </c>
      <c r="M91" s="102">
        <v>10000</v>
      </c>
      <c r="N91" s="102">
        <v>10300</v>
      </c>
      <c r="O91" s="87" t="s">
        <v>273</v>
      </c>
      <c r="P91" s="85"/>
      <c r="Q91" s="88"/>
    </row>
    <row r="92" spans="1:17" s="86" customFormat="1" ht="11.25">
      <c r="A92" s="1"/>
      <c r="B92" s="1"/>
      <c r="C92" s="1"/>
      <c r="D92" s="1"/>
      <c r="E92" s="1"/>
      <c r="F92" s="1" t="s">
        <v>48</v>
      </c>
      <c r="G92" s="101">
        <v>868.92</v>
      </c>
      <c r="H92" s="101">
        <v>2345.52</v>
      </c>
      <c r="I92" s="101">
        <v>2238.9299999999998</v>
      </c>
      <c r="J92" s="101">
        <v>2424.29</v>
      </c>
      <c r="K92" s="3">
        <v>2445.94</v>
      </c>
      <c r="L92" s="97">
        <v>2533.46</v>
      </c>
      <c r="M92" s="102">
        <v>2105</v>
      </c>
      <c r="N92" s="102">
        <v>2070</v>
      </c>
      <c r="O92" s="87"/>
      <c r="P92" s="85"/>
      <c r="Q92" s="88"/>
    </row>
    <row r="93" spans="1:17" s="86" customFormat="1" ht="11.25">
      <c r="A93" s="1"/>
      <c r="B93" s="1"/>
      <c r="C93" s="1"/>
      <c r="D93" s="1"/>
      <c r="E93" s="1"/>
      <c r="F93" s="1" t="s">
        <v>50</v>
      </c>
      <c r="G93" s="103">
        <v>68875.34</v>
      </c>
      <c r="H93" s="103">
        <v>75501.14</v>
      </c>
      <c r="I93" s="103">
        <v>76892.039999999994</v>
      </c>
      <c r="J93" s="103">
        <v>74596.399999999994</v>
      </c>
      <c r="K93" s="15">
        <v>77419.86</v>
      </c>
      <c r="L93" s="104">
        <v>81269.98</v>
      </c>
      <c r="M93" s="98">
        <v>67051</v>
      </c>
      <c r="N93" s="98">
        <v>69230</v>
      </c>
      <c r="O93" s="87"/>
      <c r="P93" s="85"/>
      <c r="Q93" s="88"/>
    </row>
    <row r="94" spans="1:17" s="86" customFormat="1" ht="12" thickBot="1">
      <c r="A94" s="1"/>
      <c r="B94" s="1"/>
      <c r="C94" s="1"/>
      <c r="D94" s="1"/>
      <c r="E94" s="1"/>
      <c r="F94" s="1" t="s">
        <v>49</v>
      </c>
      <c r="G94" s="103">
        <v>5433.95</v>
      </c>
      <c r="H94" s="103">
        <v>6134.64</v>
      </c>
      <c r="I94" s="103">
        <v>6296.11</v>
      </c>
      <c r="J94" s="103">
        <v>5979.31</v>
      </c>
      <c r="K94" s="15">
        <v>6684.37</v>
      </c>
      <c r="L94" s="104">
        <v>6748.55</v>
      </c>
      <c r="M94" s="98">
        <v>6173</v>
      </c>
      <c r="N94" s="98">
        <v>6378</v>
      </c>
      <c r="O94" s="87"/>
      <c r="P94" s="85"/>
      <c r="Q94" s="88"/>
    </row>
    <row r="95" spans="1:17" s="86" customFormat="1" ht="11.25">
      <c r="A95" s="1"/>
      <c r="B95" s="1"/>
      <c r="C95" s="1"/>
      <c r="D95" s="1"/>
      <c r="E95" s="1" t="s">
        <v>51</v>
      </c>
      <c r="F95" s="1"/>
      <c r="G95" s="70">
        <f t="shared" ref="G95:N95" si="7">ROUND(SUM(G89:G94),5)</f>
        <v>78434.009999999995</v>
      </c>
      <c r="H95" s="70">
        <f t="shared" si="7"/>
        <v>85348.09</v>
      </c>
      <c r="I95" s="70">
        <f t="shared" si="7"/>
        <v>84901.57</v>
      </c>
      <c r="J95" s="70">
        <f t="shared" si="7"/>
        <v>86203.63</v>
      </c>
      <c r="K95" s="70">
        <f t="shared" si="7"/>
        <v>90852.67</v>
      </c>
      <c r="L95" s="113">
        <f t="shared" si="7"/>
        <v>100642.72</v>
      </c>
      <c r="M95" s="113">
        <f t="shared" si="7"/>
        <v>85329</v>
      </c>
      <c r="N95" s="113">
        <f t="shared" si="7"/>
        <v>87978</v>
      </c>
      <c r="O95" s="34"/>
      <c r="P95" s="85"/>
      <c r="Q95" s="88"/>
    </row>
    <row r="96" spans="1:17" s="86" customFormat="1" ht="25.5" customHeight="1">
      <c r="A96" s="1"/>
      <c r="B96" s="1"/>
      <c r="C96" s="1"/>
      <c r="D96" s="1"/>
      <c r="E96" s="1" t="s">
        <v>52</v>
      </c>
      <c r="F96" s="1"/>
      <c r="G96" s="101">
        <v>390.35</v>
      </c>
      <c r="H96" s="101">
        <v>2017.78</v>
      </c>
      <c r="I96" s="101">
        <v>2195.94</v>
      </c>
      <c r="J96" s="101">
        <v>1595.1</v>
      </c>
      <c r="K96" s="3">
        <v>368.21</v>
      </c>
      <c r="L96" s="97">
        <v>3968.89</v>
      </c>
      <c r="M96" s="102">
        <v>500</v>
      </c>
      <c r="N96" s="102">
        <v>1200</v>
      </c>
      <c r="O96" s="87"/>
      <c r="P96" s="85"/>
      <c r="Q96" s="88"/>
    </row>
    <row r="97" spans="1:17" s="86" customFormat="1" ht="11.25">
      <c r="A97" s="1"/>
      <c r="B97" s="1"/>
      <c r="C97" s="1"/>
      <c r="D97" s="1"/>
      <c r="E97" s="1" t="s">
        <v>53</v>
      </c>
      <c r="F97" s="1"/>
      <c r="G97" s="101">
        <v>1014.55</v>
      </c>
      <c r="H97" s="101">
        <v>600.80999999999995</v>
      </c>
      <c r="I97" s="101">
        <v>3909.59</v>
      </c>
      <c r="J97" s="101">
        <v>761.54</v>
      </c>
      <c r="K97" s="3">
        <v>1095.67</v>
      </c>
      <c r="L97" s="97">
        <v>967.33</v>
      </c>
      <c r="M97" s="102">
        <v>1200</v>
      </c>
      <c r="N97" s="102">
        <v>1200</v>
      </c>
      <c r="O97" s="87"/>
      <c r="P97" s="85"/>
      <c r="Q97" s="88"/>
    </row>
    <row r="98" spans="1:17" s="86" customFormat="1" ht="11.25">
      <c r="A98" s="1"/>
      <c r="B98" s="1"/>
      <c r="C98" s="1"/>
      <c r="D98" s="1"/>
      <c r="E98" s="1" t="s">
        <v>54</v>
      </c>
      <c r="F98" s="1"/>
      <c r="G98" s="103">
        <v>2340.1799999999998</v>
      </c>
      <c r="H98" s="103">
        <v>2017.67</v>
      </c>
      <c r="I98" s="103">
        <v>2343.94</v>
      </c>
      <c r="J98" s="103">
        <v>2241.7800000000002</v>
      </c>
      <c r="K98" s="15">
        <v>2238.83</v>
      </c>
      <c r="L98" s="104">
        <v>2495.3200000000002</v>
      </c>
      <c r="M98" s="98">
        <v>2500</v>
      </c>
      <c r="N98" s="98">
        <v>2500</v>
      </c>
      <c r="O98" s="87"/>
      <c r="P98" s="85"/>
      <c r="Q98" s="88"/>
    </row>
    <row r="99" spans="1:17" s="86" customFormat="1" ht="11.25">
      <c r="A99" s="1"/>
      <c r="B99" s="1"/>
      <c r="C99" s="1"/>
      <c r="D99" s="1"/>
      <c r="E99" s="1" t="s">
        <v>55</v>
      </c>
      <c r="F99" s="1"/>
      <c r="G99" s="103">
        <v>390.46</v>
      </c>
      <c r="H99" s="103"/>
      <c r="I99" s="103">
        <v>317.56</v>
      </c>
      <c r="J99" s="103">
        <v>1157.46</v>
      </c>
      <c r="K99" s="15">
        <v>1287.17</v>
      </c>
      <c r="L99" s="104">
        <v>1370.02</v>
      </c>
      <c r="M99" s="98">
        <v>2000</v>
      </c>
      <c r="N99" s="98">
        <v>1500</v>
      </c>
      <c r="O99" s="87"/>
      <c r="P99" s="85"/>
      <c r="Q99" s="88"/>
    </row>
    <row r="100" spans="1:17" s="86" customFormat="1" ht="11.25">
      <c r="A100" s="1"/>
      <c r="B100" s="1"/>
      <c r="C100" s="1"/>
      <c r="D100" s="1"/>
      <c r="E100" s="1" t="s">
        <v>221</v>
      </c>
      <c r="F100" s="1"/>
      <c r="G100" s="103"/>
      <c r="H100" s="103"/>
      <c r="I100" s="103"/>
      <c r="J100" s="103"/>
      <c r="K100" s="15"/>
      <c r="L100" s="104"/>
      <c r="M100" s="98"/>
      <c r="N100" s="98"/>
      <c r="O100" s="87"/>
      <c r="P100" s="85"/>
      <c r="Q100" s="88"/>
    </row>
    <row r="101" spans="1:17" s="86" customFormat="1" ht="11.25">
      <c r="A101" s="1"/>
      <c r="B101" s="1"/>
      <c r="C101" s="1"/>
      <c r="D101" s="1"/>
      <c r="E101" s="1"/>
      <c r="F101" s="32" t="s">
        <v>50</v>
      </c>
      <c r="G101" s="140">
        <v>1078</v>
      </c>
      <c r="H101" s="140">
        <v>1214.5</v>
      </c>
      <c r="I101" s="140">
        <v>1585.5</v>
      </c>
      <c r="J101" s="140">
        <v>1843.75</v>
      </c>
      <c r="K101" s="141">
        <v>2231</v>
      </c>
      <c r="L101" s="121">
        <v>1462.5</v>
      </c>
      <c r="M101" s="98">
        <v>2250</v>
      </c>
      <c r="N101" s="98">
        <v>6300</v>
      </c>
      <c r="O101" s="87" t="s">
        <v>265</v>
      </c>
      <c r="P101" s="85"/>
      <c r="Q101" s="88"/>
    </row>
    <row r="102" spans="1:17" s="86" customFormat="1" ht="12" thickBot="1">
      <c r="A102" s="1"/>
      <c r="B102" s="1"/>
      <c r="C102" s="1"/>
      <c r="D102" s="1"/>
      <c r="E102" s="1"/>
      <c r="F102" s="32" t="s">
        <v>49</v>
      </c>
      <c r="G102" s="142">
        <v>86.23</v>
      </c>
      <c r="H102" s="142">
        <v>253.16</v>
      </c>
      <c r="I102" s="142">
        <v>329.83</v>
      </c>
      <c r="J102" s="142">
        <v>250.39</v>
      </c>
      <c r="K102" s="143">
        <v>272.67</v>
      </c>
      <c r="L102" s="106">
        <v>199.27</v>
      </c>
      <c r="M102" s="116">
        <v>300</v>
      </c>
      <c r="N102" s="98">
        <v>946.72</v>
      </c>
      <c r="O102" s="87"/>
      <c r="P102" s="85"/>
      <c r="Q102" s="88"/>
    </row>
    <row r="103" spans="1:17" s="86" customFormat="1" ht="24" customHeight="1">
      <c r="A103" s="1"/>
      <c r="B103" s="1"/>
      <c r="C103" s="1"/>
      <c r="D103" s="1" t="s">
        <v>201</v>
      </c>
      <c r="E103" s="1"/>
      <c r="F103" s="1"/>
      <c r="G103" s="70">
        <f t="shared" ref="G103:N103" si="8">ROUND(SUM(G50:G63)+G69+SUM(G73:G74)+SUM(G81:G83)+G87+G88+SUM(G95:G102),5)</f>
        <v>151085.54</v>
      </c>
      <c r="H103" s="70">
        <f t="shared" si="8"/>
        <v>159281.44</v>
      </c>
      <c r="I103" s="70">
        <f t="shared" si="8"/>
        <v>173432.52</v>
      </c>
      <c r="J103" s="70">
        <f t="shared" si="8"/>
        <v>186448.22</v>
      </c>
      <c r="K103" s="70">
        <f t="shared" si="8"/>
        <v>178171.67</v>
      </c>
      <c r="L103" s="113">
        <f t="shared" si="8"/>
        <v>166194.85999999999</v>
      </c>
      <c r="M103" s="113">
        <f t="shared" si="8"/>
        <v>175669</v>
      </c>
      <c r="N103" s="113">
        <f t="shared" si="8"/>
        <v>184419.72</v>
      </c>
      <c r="O103" s="34"/>
      <c r="P103" s="85"/>
      <c r="Q103" s="88"/>
    </row>
    <row r="104" spans="1:17" s="86" customFormat="1" ht="25.5" customHeight="1">
      <c r="A104" s="1"/>
      <c r="B104" s="1"/>
      <c r="C104" s="1"/>
      <c r="D104" s="1" t="s">
        <v>161</v>
      </c>
      <c r="E104" s="1"/>
      <c r="F104" s="1"/>
      <c r="G104" s="101"/>
      <c r="H104" s="101"/>
      <c r="I104" s="101"/>
      <c r="J104" s="101"/>
      <c r="K104" s="3"/>
      <c r="L104" s="97"/>
      <c r="M104" s="110"/>
      <c r="N104" s="110"/>
      <c r="O104" s="89"/>
      <c r="P104" s="85"/>
      <c r="Q104" s="88"/>
    </row>
    <row r="105" spans="1:17" s="86" customFormat="1" ht="11.25">
      <c r="A105" s="1"/>
      <c r="B105" s="1"/>
      <c r="C105" s="1"/>
      <c r="D105" s="1"/>
      <c r="E105" s="1" t="s">
        <v>192</v>
      </c>
      <c r="F105" s="1"/>
      <c r="G105" s="101"/>
      <c r="H105" s="101"/>
      <c r="I105" s="101">
        <v>270.38</v>
      </c>
      <c r="J105" s="101">
        <v>181.28</v>
      </c>
      <c r="K105" s="3">
        <v>196.37</v>
      </c>
      <c r="L105" s="97">
        <v>217.52</v>
      </c>
      <c r="M105" s="110">
        <v>225</v>
      </c>
      <c r="N105" s="110">
        <v>250</v>
      </c>
      <c r="O105" s="89"/>
      <c r="P105" s="85"/>
      <c r="Q105" s="88"/>
    </row>
    <row r="106" spans="1:17" s="86" customFormat="1" ht="11.25">
      <c r="A106" s="1"/>
      <c r="B106" s="1"/>
      <c r="C106" s="1"/>
      <c r="D106" s="1"/>
      <c r="E106" s="1" t="s">
        <v>247</v>
      </c>
      <c r="F106" s="1"/>
      <c r="G106" s="101"/>
      <c r="H106" s="101"/>
      <c r="I106" s="101"/>
      <c r="J106" s="101"/>
      <c r="K106" s="3">
        <v>0</v>
      </c>
      <c r="L106" s="97">
        <v>12977</v>
      </c>
      <c r="M106" s="110">
        <v>13200</v>
      </c>
      <c r="N106" s="110">
        <v>16045</v>
      </c>
      <c r="O106" s="87" t="s">
        <v>284</v>
      </c>
      <c r="P106" s="85"/>
      <c r="Q106" s="88"/>
    </row>
    <row r="107" spans="1:17" s="86" customFormat="1" ht="11.25">
      <c r="A107" s="1"/>
      <c r="B107" s="1"/>
      <c r="C107" s="1"/>
      <c r="D107" s="1"/>
      <c r="E107" s="1" t="s">
        <v>211</v>
      </c>
      <c r="F107" s="1"/>
      <c r="G107" s="101"/>
      <c r="H107" s="101"/>
      <c r="I107" s="101"/>
      <c r="J107" s="101"/>
      <c r="K107" s="3"/>
      <c r="L107" s="97">
        <v>0</v>
      </c>
      <c r="M107" s="110">
        <v>1000</v>
      </c>
      <c r="N107" s="110">
        <v>600</v>
      </c>
      <c r="O107" s="89"/>
      <c r="P107" s="85"/>
      <c r="Q107" s="88"/>
    </row>
    <row r="108" spans="1:17" s="86" customFormat="1" ht="11.25">
      <c r="A108" s="1"/>
      <c r="B108" s="1"/>
      <c r="C108" s="1"/>
      <c r="D108" s="1"/>
      <c r="E108" s="1" t="s">
        <v>37</v>
      </c>
      <c r="F108" s="1"/>
      <c r="G108" s="101"/>
      <c r="H108" s="101"/>
      <c r="I108" s="101"/>
      <c r="J108" s="101"/>
      <c r="K108" s="3"/>
      <c r="L108" s="97"/>
      <c r="M108" s="110"/>
      <c r="N108" s="110"/>
      <c r="O108" s="89"/>
      <c r="P108" s="85"/>
      <c r="Q108" s="88"/>
    </row>
    <row r="109" spans="1:17" s="86" customFormat="1" ht="11.25">
      <c r="A109" s="1"/>
      <c r="B109" s="1"/>
      <c r="C109" s="1"/>
      <c r="D109" s="1"/>
      <c r="E109" s="1"/>
      <c r="F109" s="1" t="s">
        <v>56</v>
      </c>
      <c r="G109" s="101"/>
      <c r="H109" s="101">
        <v>610.71</v>
      </c>
      <c r="I109" s="101">
        <v>343.29</v>
      </c>
      <c r="J109" s="101">
        <v>313.05</v>
      </c>
      <c r="K109" s="3">
        <v>0</v>
      </c>
      <c r="L109" s="97">
        <v>221.82</v>
      </c>
      <c r="M109" s="110">
        <v>500</v>
      </c>
      <c r="N109" s="110">
        <v>225</v>
      </c>
      <c r="O109" s="89"/>
      <c r="P109" s="85"/>
      <c r="Q109" s="88"/>
    </row>
    <row r="110" spans="1:17" s="86" customFormat="1" ht="11.25">
      <c r="A110" s="1"/>
      <c r="B110" s="1"/>
      <c r="C110" s="1"/>
      <c r="D110" s="1"/>
      <c r="E110" s="1"/>
      <c r="F110" s="1" t="s">
        <v>57</v>
      </c>
      <c r="G110" s="101">
        <v>414.26</v>
      </c>
      <c r="H110" s="101">
        <v>1493.68</v>
      </c>
      <c r="I110" s="101">
        <v>138.79</v>
      </c>
      <c r="J110" s="101">
        <v>645.65</v>
      </c>
      <c r="K110" s="3">
        <v>822.86</v>
      </c>
      <c r="L110" s="97">
        <v>3817.16</v>
      </c>
      <c r="M110" s="110">
        <v>1000</v>
      </c>
      <c r="N110" s="110">
        <v>1000</v>
      </c>
      <c r="O110" s="89"/>
      <c r="P110" s="85"/>
      <c r="Q110" s="88"/>
    </row>
    <row r="111" spans="1:17" s="86" customFormat="1" ht="12" thickBot="1">
      <c r="A111" s="1"/>
      <c r="B111" s="1"/>
      <c r="C111" s="1"/>
      <c r="D111" s="1"/>
      <c r="E111" s="1"/>
      <c r="F111" s="1" t="s">
        <v>157</v>
      </c>
      <c r="G111" s="40">
        <v>3647.57</v>
      </c>
      <c r="H111" s="40">
        <v>164.12</v>
      </c>
      <c r="I111" s="40"/>
      <c r="J111" s="40">
        <v>4330.6000000000004</v>
      </c>
      <c r="K111" s="4">
        <v>720</v>
      </c>
      <c r="L111" s="105">
        <v>196.57</v>
      </c>
      <c r="M111" s="106">
        <v>1000</v>
      </c>
      <c r="N111" s="106">
        <v>1000</v>
      </c>
      <c r="O111" s="89"/>
      <c r="P111" s="85"/>
      <c r="Q111" s="88"/>
    </row>
    <row r="112" spans="1:17" s="86" customFormat="1" ht="11.25">
      <c r="A112" s="1"/>
      <c r="B112" s="1"/>
      <c r="C112" s="1"/>
      <c r="D112" s="1"/>
      <c r="E112" s="1" t="s">
        <v>39</v>
      </c>
      <c r="F112" s="1"/>
      <c r="G112" s="13">
        <f t="shared" ref="G112:N112" si="9">ROUND(SUM(G108:G111),5)</f>
        <v>4061.83</v>
      </c>
      <c r="H112" s="13">
        <f t="shared" si="9"/>
        <v>2268.5100000000002</v>
      </c>
      <c r="I112" s="13">
        <f t="shared" si="9"/>
        <v>482.08</v>
      </c>
      <c r="J112" s="13">
        <f t="shared" si="9"/>
        <v>5289.3</v>
      </c>
      <c r="K112" s="13">
        <f t="shared" si="9"/>
        <v>1542.86</v>
      </c>
      <c r="L112" s="108">
        <f t="shared" si="9"/>
        <v>4235.55</v>
      </c>
      <c r="M112" s="108">
        <f t="shared" si="9"/>
        <v>2500</v>
      </c>
      <c r="N112" s="108">
        <f t="shared" si="9"/>
        <v>2225</v>
      </c>
      <c r="O112" s="34"/>
      <c r="P112" s="85"/>
      <c r="Q112" s="88"/>
    </row>
    <row r="113" spans="1:17" s="86" customFormat="1" ht="25.5" customHeight="1">
      <c r="A113" s="1"/>
      <c r="B113" s="1"/>
      <c r="C113" s="1"/>
      <c r="D113" s="1"/>
      <c r="E113" s="1" t="s">
        <v>58</v>
      </c>
      <c r="F113" s="1"/>
      <c r="G113" s="101">
        <v>42706.16</v>
      </c>
      <c r="H113" s="101">
        <v>21003.58</v>
      </c>
      <c r="I113" s="101">
        <v>1516.03</v>
      </c>
      <c r="J113" s="101">
        <v>31353.32</v>
      </c>
      <c r="K113" s="3">
        <v>47169.37</v>
      </c>
      <c r="L113" s="97">
        <v>19583.02</v>
      </c>
      <c r="M113" s="110">
        <v>3000</v>
      </c>
      <c r="N113" s="110">
        <v>3000</v>
      </c>
      <c r="O113" s="89"/>
      <c r="P113" s="85"/>
      <c r="Q113" s="88"/>
    </row>
    <row r="114" spans="1:17" s="86" customFormat="1" ht="11.25">
      <c r="A114" s="1"/>
      <c r="B114" s="1"/>
      <c r="C114" s="1"/>
      <c r="D114" s="1"/>
      <c r="E114" s="1" t="s">
        <v>59</v>
      </c>
      <c r="F114" s="1"/>
      <c r="G114" s="101"/>
      <c r="H114" s="101"/>
      <c r="I114" s="101">
        <v>1974.6</v>
      </c>
      <c r="J114" s="101">
        <v>2509.4</v>
      </c>
      <c r="K114" s="3">
        <v>2837.8</v>
      </c>
      <c r="L114" s="97">
        <v>2762.1</v>
      </c>
      <c r="M114" s="110">
        <v>3000</v>
      </c>
      <c r="N114" s="110">
        <v>3000</v>
      </c>
      <c r="O114" s="89"/>
      <c r="P114" s="85"/>
      <c r="Q114" s="88"/>
    </row>
    <row r="115" spans="1:17" s="86" customFormat="1" ht="11.25">
      <c r="A115" s="1"/>
      <c r="B115" s="1"/>
      <c r="C115" s="1"/>
      <c r="D115" s="1"/>
      <c r="E115" s="1" t="s">
        <v>60</v>
      </c>
      <c r="F115" s="1"/>
      <c r="G115" s="103">
        <v>745.38</v>
      </c>
      <c r="H115" s="103">
        <v>110.9</v>
      </c>
      <c r="I115" s="103">
        <v>1606.29</v>
      </c>
      <c r="J115" s="103">
        <v>1327.92</v>
      </c>
      <c r="K115" s="15">
        <v>1795.71</v>
      </c>
      <c r="L115" s="104">
        <v>1772.81</v>
      </c>
      <c r="M115" s="110">
        <v>1900</v>
      </c>
      <c r="N115" s="110">
        <v>1900</v>
      </c>
      <c r="O115" s="89"/>
      <c r="P115" s="85"/>
      <c r="Q115" s="88"/>
    </row>
    <row r="116" spans="1:17" s="86" customFormat="1" ht="12" thickBot="1">
      <c r="A116" s="1"/>
      <c r="B116" s="1"/>
      <c r="C116" s="1"/>
      <c r="D116" s="1"/>
      <c r="E116" s="1" t="s">
        <v>270</v>
      </c>
      <c r="F116" s="1"/>
      <c r="G116" s="103"/>
      <c r="H116" s="103"/>
      <c r="I116" s="103"/>
      <c r="J116" s="103"/>
      <c r="K116" s="15"/>
      <c r="L116" s="104">
        <v>0</v>
      </c>
      <c r="M116" s="110">
        <v>0</v>
      </c>
      <c r="N116" s="110">
        <v>25000</v>
      </c>
      <c r="O116" s="89"/>
      <c r="P116" s="85"/>
      <c r="Q116" s="88"/>
    </row>
    <row r="117" spans="1:17" s="86" customFormat="1" ht="12" hidden="1" thickBot="1">
      <c r="A117" s="1"/>
      <c r="B117" s="1"/>
      <c r="C117" s="1"/>
      <c r="D117" s="1"/>
      <c r="E117" s="1" t="s">
        <v>147</v>
      </c>
      <c r="F117" s="1"/>
      <c r="G117" s="103"/>
      <c r="H117" s="103"/>
      <c r="I117" s="103"/>
      <c r="J117" s="103"/>
      <c r="K117" s="15"/>
      <c r="L117" s="104"/>
      <c r="M117" s="110"/>
      <c r="N117" s="122"/>
      <c r="O117" s="89"/>
      <c r="P117" s="85"/>
      <c r="Q117" s="88"/>
    </row>
    <row r="118" spans="1:17" s="86" customFormat="1" ht="36" customHeight="1">
      <c r="A118" s="1"/>
      <c r="B118" s="1"/>
      <c r="C118" s="1"/>
      <c r="D118" s="1" t="s">
        <v>121</v>
      </c>
      <c r="E118" s="1"/>
      <c r="F118" s="1"/>
      <c r="G118" s="70">
        <f t="shared" ref="G118:N118" si="10">ROUND(SUM(G104:G107)+SUM(G112:G117),5)</f>
        <v>47513.37</v>
      </c>
      <c r="H118" s="70">
        <f t="shared" si="10"/>
        <v>23382.99</v>
      </c>
      <c r="I118" s="70">
        <f t="shared" si="10"/>
        <v>5849.38</v>
      </c>
      <c r="J118" s="70">
        <f t="shared" si="10"/>
        <v>40661.22</v>
      </c>
      <c r="K118" s="70">
        <f t="shared" si="10"/>
        <v>53542.11</v>
      </c>
      <c r="L118" s="113">
        <f t="shared" si="10"/>
        <v>41548</v>
      </c>
      <c r="M118" s="113">
        <f t="shared" si="10"/>
        <v>24825</v>
      </c>
      <c r="N118" s="113">
        <f t="shared" si="10"/>
        <v>52020</v>
      </c>
      <c r="O118" s="34"/>
      <c r="P118" s="85"/>
      <c r="Q118" s="88"/>
    </row>
    <row r="119" spans="1:17" s="86" customFormat="1" ht="25.5" customHeight="1">
      <c r="A119" s="1"/>
      <c r="B119" s="1"/>
      <c r="C119" s="1"/>
      <c r="D119" s="1" t="s">
        <v>61</v>
      </c>
      <c r="E119" s="1"/>
      <c r="F119" s="1"/>
      <c r="G119" s="101"/>
      <c r="H119" s="101"/>
      <c r="I119" s="101"/>
      <c r="J119" s="101"/>
      <c r="K119" s="3"/>
      <c r="L119" s="110"/>
      <c r="M119" s="110"/>
      <c r="N119" s="110"/>
      <c r="O119" s="89"/>
      <c r="P119" s="85"/>
      <c r="Q119" s="88"/>
    </row>
    <row r="120" spans="1:17" s="86" customFormat="1" ht="11.25">
      <c r="A120" s="1"/>
      <c r="B120" s="1"/>
      <c r="C120" s="1"/>
      <c r="D120" s="1"/>
      <c r="E120" s="1" t="s">
        <v>62</v>
      </c>
      <c r="F120" s="1"/>
      <c r="G120" s="101"/>
      <c r="H120" s="101">
        <v>29536.95</v>
      </c>
      <c r="I120" s="101">
        <v>94981.8</v>
      </c>
      <c r="J120" s="101">
        <v>140.68</v>
      </c>
      <c r="K120" s="3">
        <v>35441.160000000003</v>
      </c>
      <c r="L120" s="97"/>
      <c r="M120" s="110"/>
      <c r="N120" s="110"/>
      <c r="O120" s="89"/>
      <c r="P120" s="85"/>
      <c r="Q120" s="88"/>
    </row>
    <row r="121" spans="1:17" s="86" customFormat="1" ht="11.25">
      <c r="A121" s="1"/>
      <c r="B121" s="1"/>
      <c r="C121" s="1"/>
      <c r="D121" s="1"/>
      <c r="E121" s="1" t="s">
        <v>63</v>
      </c>
      <c r="F121" s="1"/>
      <c r="G121" s="101">
        <v>784.01</v>
      </c>
      <c r="H121" s="101">
        <v>795.36</v>
      </c>
      <c r="I121" s="101">
        <v>2482.48</v>
      </c>
      <c r="J121" s="101">
        <v>2060.16</v>
      </c>
      <c r="K121" s="3">
        <v>7.14</v>
      </c>
      <c r="L121" s="97">
        <v>68.91</v>
      </c>
      <c r="M121" s="110">
        <v>2500</v>
      </c>
      <c r="N121" s="110">
        <v>2500</v>
      </c>
      <c r="O121" s="89"/>
      <c r="P121" s="85"/>
      <c r="Q121" s="88"/>
    </row>
    <row r="122" spans="1:17" s="86" customFormat="1" ht="11.25">
      <c r="A122" s="1"/>
      <c r="B122" s="1"/>
      <c r="C122" s="1"/>
      <c r="D122" s="1"/>
      <c r="E122" s="1" t="s">
        <v>64</v>
      </c>
      <c r="F122" s="1"/>
      <c r="G122" s="101">
        <v>53431.65</v>
      </c>
      <c r="H122" s="101">
        <v>74463.679999999993</v>
      </c>
      <c r="I122" s="101">
        <v>44803.25</v>
      </c>
      <c r="J122" s="101">
        <v>59368.91</v>
      </c>
      <c r="K122" s="3">
        <v>68313.13</v>
      </c>
      <c r="L122" s="97">
        <v>72198.89</v>
      </c>
      <c r="M122" s="110">
        <v>90000</v>
      </c>
      <c r="N122" s="110">
        <v>85500</v>
      </c>
      <c r="O122" s="89"/>
      <c r="P122" s="85"/>
      <c r="Q122" s="88"/>
    </row>
    <row r="123" spans="1:17" s="86" customFormat="1" ht="11.25">
      <c r="A123" s="1"/>
      <c r="B123" s="1"/>
      <c r="C123" s="1"/>
      <c r="D123" s="1"/>
      <c r="E123" s="1" t="s">
        <v>243</v>
      </c>
      <c r="F123" s="1"/>
      <c r="G123" s="101">
        <v>40186</v>
      </c>
      <c r="H123" s="101">
        <v>41096</v>
      </c>
      <c r="I123" s="101">
        <v>42031.83</v>
      </c>
      <c r="J123" s="101">
        <v>42110</v>
      </c>
      <c r="K123" s="3">
        <v>52796</v>
      </c>
      <c r="L123" s="97">
        <v>48290</v>
      </c>
      <c r="M123" s="110"/>
      <c r="N123" s="110"/>
      <c r="O123" s="89"/>
      <c r="P123" s="85"/>
      <c r="Q123" s="88"/>
    </row>
    <row r="124" spans="1:17" s="86" customFormat="1" ht="11.25">
      <c r="A124" s="1"/>
      <c r="B124" s="1"/>
      <c r="C124" s="1"/>
      <c r="D124" s="1"/>
      <c r="E124" s="1"/>
      <c r="F124" s="1" t="s">
        <v>173</v>
      </c>
      <c r="G124" s="101"/>
      <c r="H124" s="101"/>
      <c r="I124" s="101"/>
      <c r="J124" s="101"/>
      <c r="K124" s="3"/>
      <c r="L124" s="97"/>
      <c r="M124" s="110">
        <v>19000</v>
      </c>
      <c r="N124" s="110">
        <v>19160</v>
      </c>
      <c r="O124" s="87" t="s">
        <v>284</v>
      </c>
      <c r="P124" s="85"/>
      <c r="Q124" s="88"/>
    </row>
    <row r="125" spans="1:17" s="86" customFormat="1" ht="11.25">
      <c r="A125" s="1"/>
      <c r="B125" s="1"/>
      <c r="C125" s="1"/>
      <c r="D125" s="1"/>
      <c r="E125" s="1"/>
      <c r="F125" s="1" t="s">
        <v>223</v>
      </c>
      <c r="G125" s="101"/>
      <c r="H125" s="101"/>
      <c r="I125" s="101"/>
      <c r="J125" s="101"/>
      <c r="K125" s="3"/>
      <c r="L125" s="97"/>
      <c r="M125" s="110">
        <v>1100</v>
      </c>
      <c r="N125" s="110">
        <v>1130</v>
      </c>
      <c r="O125" s="87" t="s">
        <v>284</v>
      </c>
      <c r="P125" s="85"/>
      <c r="Q125" s="88"/>
    </row>
    <row r="126" spans="1:17" s="86" customFormat="1" ht="12" thickBot="1">
      <c r="A126" s="1"/>
      <c r="B126" s="1"/>
      <c r="C126" s="1"/>
      <c r="D126" s="1"/>
      <c r="E126" s="1"/>
      <c r="F126" s="1" t="s">
        <v>174</v>
      </c>
      <c r="G126" s="101"/>
      <c r="H126" s="101"/>
      <c r="I126" s="101"/>
      <c r="J126" s="101"/>
      <c r="K126" s="3"/>
      <c r="L126" s="97"/>
      <c r="M126" s="106">
        <v>6500</v>
      </c>
      <c r="N126" s="106">
        <v>6810</v>
      </c>
      <c r="O126" s="87" t="s">
        <v>284</v>
      </c>
      <c r="P126" s="85"/>
      <c r="Q126" s="88"/>
    </row>
    <row r="127" spans="1:17" s="86" customFormat="1" ht="11.25">
      <c r="A127" s="1"/>
      <c r="B127" s="1"/>
      <c r="C127" s="1"/>
      <c r="D127" s="1"/>
      <c r="E127" s="1" t="s">
        <v>33</v>
      </c>
      <c r="F127" s="1"/>
      <c r="G127" s="101"/>
      <c r="H127" s="101"/>
      <c r="I127" s="101"/>
      <c r="J127" s="101"/>
      <c r="K127" s="3"/>
      <c r="L127" s="97"/>
      <c r="M127" s="108">
        <f>SUM(M124:M126)</f>
        <v>26600</v>
      </c>
      <c r="N127" s="108">
        <f>SUM(N124:N126)</f>
        <v>27100</v>
      </c>
      <c r="O127" s="89"/>
      <c r="P127" s="85"/>
      <c r="Q127" s="88"/>
    </row>
    <row r="128" spans="1:17" s="86" customFormat="1" ht="11.25">
      <c r="A128" s="1"/>
      <c r="B128" s="1"/>
      <c r="C128" s="1"/>
      <c r="D128" s="1"/>
      <c r="E128" s="1" t="s">
        <v>193</v>
      </c>
      <c r="F128" s="1"/>
      <c r="G128" s="101">
        <v>7489.37</v>
      </c>
      <c r="H128" s="101">
        <v>243.9</v>
      </c>
      <c r="I128" s="101">
        <v>1505.05</v>
      </c>
      <c r="J128" s="101">
        <v>5658.11</v>
      </c>
      <c r="K128" s="3">
        <v>5805.37</v>
      </c>
      <c r="L128" s="97">
        <v>1121.9100000000001</v>
      </c>
      <c r="M128" s="110">
        <v>6000</v>
      </c>
      <c r="N128" s="110">
        <v>6000</v>
      </c>
      <c r="O128" s="89"/>
      <c r="P128" s="85"/>
      <c r="Q128" s="88"/>
    </row>
    <row r="129" spans="1:17" s="86" customFormat="1" ht="11.25">
      <c r="A129" s="1"/>
      <c r="B129" s="1"/>
      <c r="C129" s="1"/>
      <c r="D129" s="1"/>
      <c r="E129" s="1" t="s">
        <v>37</v>
      </c>
      <c r="F129" s="1"/>
      <c r="G129" s="101"/>
      <c r="H129" s="101"/>
      <c r="I129" s="101"/>
      <c r="J129" s="101"/>
      <c r="K129" s="3"/>
      <c r="L129" s="97"/>
      <c r="M129" s="110"/>
      <c r="N129" s="110"/>
      <c r="O129" s="89"/>
      <c r="P129" s="85"/>
      <c r="Q129" s="88"/>
    </row>
    <row r="130" spans="1:17" s="86" customFormat="1" ht="11.25">
      <c r="A130" s="1"/>
      <c r="B130" s="1"/>
      <c r="C130" s="1"/>
      <c r="D130" s="1"/>
      <c r="E130" s="1"/>
      <c r="F130" s="1" t="s">
        <v>179</v>
      </c>
      <c r="G130" s="101"/>
      <c r="H130" s="101"/>
      <c r="I130" s="101"/>
      <c r="J130" s="101"/>
      <c r="K130" s="3"/>
      <c r="L130" s="97">
        <v>0</v>
      </c>
      <c r="M130" s="110">
        <v>500</v>
      </c>
      <c r="N130" s="110">
        <v>500</v>
      </c>
      <c r="O130" s="89"/>
      <c r="P130" s="85"/>
      <c r="Q130" s="88"/>
    </row>
    <row r="131" spans="1:17" s="86" customFormat="1" ht="11.25">
      <c r="A131" s="1"/>
      <c r="B131" s="1"/>
      <c r="C131" s="1"/>
      <c r="D131" s="1"/>
      <c r="E131" s="1"/>
      <c r="F131" s="1" t="s">
        <v>169</v>
      </c>
      <c r="G131" s="101"/>
      <c r="H131" s="101"/>
      <c r="I131" s="101"/>
      <c r="J131" s="101"/>
      <c r="K131" s="3"/>
      <c r="L131" s="97">
        <v>0</v>
      </c>
      <c r="M131" s="110">
        <v>300</v>
      </c>
      <c r="N131" s="110">
        <v>300</v>
      </c>
      <c r="O131" s="89"/>
      <c r="P131" s="85"/>
      <c r="Q131" s="88"/>
    </row>
    <row r="132" spans="1:17" s="86" customFormat="1" ht="11.25">
      <c r="A132" s="1"/>
      <c r="B132" s="1"/>
      <c r="C132" s="1"/>
      <c r="D132" s="1"/>
      <c r="E132" s="1"/>
      <c r="F132" s="1" t="s">
        <v>65</v>
      </c>
      <c r="G132" s="101">
        <v>550.85</v>
      </c>
      <c r="H132" s="101">
        <v>517.99</v>
      </c>
      <c r="I132" s="101">
        <v>528.88</v>
      </c>
      <c r="J132" s="101">
        <v>690.7</v>
      </c>
      <c r="K132" s="3">
        <v>542.02</v>
      </c>
      <c r="L132" s="97">
        <v>546.94000000000005</v>
      </c>
      <c r="M132" s="110">
        <v>600</v>
      </c>
      <c r="N132" s="110">
        <v>600</v>
      </c>
      <c r="O132" s="89"/>
      <c r="P132" s="85"/>
      <c r="Q132" s="88"/>
    </row>
    <row r="133" spans="1:17" s="86" customFormat="1" ht="11.25">
      <c r="A133" s="1"/>
      <c r="B133" s="1"/>
      <c r="C133" s="1"/>
      <c r="D133" s="1"/>
      <c r="E133" s="1"/>
      <c r="F133" s="1" t="s">
        <v>66</v>
      </c>
      <c r="G133" s="101">
        <v>593</v>
      </c>
      <c r="H133" s="101">
        <v>590</v>
      </c>
      <c r="I133" s="101">
        <v>1108</v>
      </c>
      <c r="J133" s="101">
        <v>293.5</v>
      </c>
      <c r="K133" s="3">
        <v>592</v>
      </c>
      <c r="L133" s="97">
        <v>852.75</v>
      </c>
      <c r="M133" s="102">
        <v>600</v>
      </c>
      <c r="N133" s="102">
        <v>300</v>
      </c>
      <c r="O133" s="87"/>
      <c r="P133" s="85"/>
      <c r="Q133" s="88"/>
    </row>
    <row r="134" spans="1:17" s="86" customFormat="1" ht="11.25">
      <c r="A134" s="1"/>
      <c r="B134" s="1"/>
      <c r="C134" s="1"/>
      <c r="D134" s="1"/>
      <c r="E134" s="1"/>
      <c r="F134" s="1" t="s">
        <v>67</v>
      </c>
      <c r="G134" s="101">
        <v>151.72</v>
      </c>
      <c r="H134" s="101">
        <v>1293.83</v>
      </c>
      <c r="I134" s="101">
        <v>1248</v>
      </c>
      <c r="J134" s="101">
        <v>600</v>
      </c>
      <c r="K134" s="3">
        <v>2214.96</v>
      </c>
      <c r="L134" s="97">
        <v>800</v>
      </c>
      <c r="M134" s="102">
        <v>2300</v>
      </c>
      <c r="N134" s="102">
        <v>1500</v>
      </c>
      <c r="O134" s="87"/>
      <c r="P134" s="85"/>
      <c r="Q134" s="88"/>
    </row>
    <row r="135" spans="1:17" s="86" customFormat="1" ht="11.25">
      <c r="A135" s="1"/>
      <c r="B135" s="1"/>
      <c r="C135" s="1"/>
      <c r="D135" s="1"/>
      <c r="E135" s="1"/>
      <c r="F135" s="1" t="s">
        <v>12</v>
      </c>
      <c r="G135" s="101">
        <v>3097.59</v>
      </c>
      <c r="H135" s="101">
        <v>1547.78</v>
      </c>
      <c r="I135" s="101">
        <v>890.44</v>
      </c>
      <c r="J135" s="101">
        <v>784.38</v>
      </c>
      <c r="K135" s="3">
        <v>2121.7600000000002</v>
      </c>
      <c r="L135" s="97">
        <v>2392.59</v>
      </c>
      <c r="M135" s="102">
        <v>2000</v>
      </c>
      <c r="N135" s="102">
        <v>2000</v>
      </c>
      <c r="O135" s="87"/>
      <c r="P135" s="85"/>
      <c r="Q135" s="88"/>
    </row>
    <row r="136" spans="1:17" s="86" customFormat="1" ht="11.25">
      <c r="A136" s="1"/>
      <c r="B136" s="1"/>
      <c r="C136" s="1"/>
      <c r="D136" s="1"/>
      <c r="E136" s="1"/>
      <c r="F136" s="1" t="s">
        <v>68</v>
      </c>
      <c r="G136" s="101">
        <v>513.41</v>
      </c>
      <c r="H136" s="101">
        <v>988.44</v>
      </c>
      <c r="I136" s="101">
        <v>30.14</v>
      </c>
      <c r="J136" s="101">
        <v>2085.12</v>
      </c>
      <c r="K136" s="3">
        <v>1667.01</v>
      </c>
      <c r="L136" s="97">
        <v>0</v>
      </c>
      <c r="M136" s="102">
        <v>1100</v>
      </c>
      <c r="N136" s="102">
        <v>1500</v>
      </c>
      <c r="O136" s="87"/>
      <c r="P136" s="85"/>
      <c r="Q136" s="88"/>
    </row>
    <row r="137" spans="1:17" s="86" customFormat="1" ht="11.25">
      <c r="A137" s="1"/>
      <c r="B137" s="1"/>
      <c r="C137" s="1"/>
      <c r="D137" s="1"/>
      <c r="E137" s="1"/>
      <c r="F137" s="1" t="s">
        <v>69</v>
      </c>
      <c r="G137" s="101">
        <v>894.44</v>
      </c>
      <c r="H137" s="101">
        <v>985.9</v>
      </c>
      <c r="I137" s="101">
        <v>1238.8</v>
      </c>
      <c r="J137" s="101">
        <v>1029.54</v>
      </c>
      <c r="K137" s="3">
        <v>1713.53</v>
      </c>
      <c r="L137" s="97">
        <v>1038.05</v>
      </c>
      <c r="M137" s="102">
        <v>1200</v>
      </c>
      <c r="N137" s="102">
        <v>1300</v>
      </c>
      <c r="O137" s="87"/>
      <c r="P137" s="85"/>
      <c r="Q137" s="88"/>
    </row>
    <row r="138" spans="1:17" s="86" customFormat="1" ht="12" thickBot="1">
      <c r="A138" s="1"/>
      <c r="B138" s="1"/>
      <c r="C138" s="1"/>
      <c r="D138" s="1"/>
      <c r="E138" s="1"/>
      <c r="F138" s="1" t="s">
        <v>139</v>
      </c>
      <c r="G138" s="40">
        <v>868.41</v>
      </c>
      <c r="H138" s="40">
        <v>15.04</v>
      </c>
      <c r="I138" s="40">
        <v>1125.67</v>
      </c>
      <c r="J138" s="40"/>
      <c r="K138" s="4">
        <v>288</v>
      </c>
      <c r="L138" s="105">
        <v>0</v>
      </c>
      <c r="M138" s="116">
        <v>500</v>
      </c>
      <c r="N138" s="116">
        <v>500</v>
      </c>
      <c r="O138" s="87"/>
      <c r="P138" s="85"/>
      <c r="Q138" s="88"/>
    </row>
    <row r="139" spans="1:17" s="86" customFormat="1" ht="11.25">
      <c r="A139" s="1"/>
      <c r="B139" s="1"/>
      <c r="C139" s="1"/>
      <c r="D139" s="1"/>
      <c r="E139" s="1" t="s">
        <v>39</v>
      </c>
      <c r="F139" s="1"/>
      <c r="G139" s="13">
        <f>ROUND(SUM(G129:G138),5)</f>
        <v>6669.42</v>
      </c>
      <c r="H139" s="13">
        <f>ROUND(SUM(H129:H138),5)</f>
        <v>5938.98</v>
      </c>
      <c r="I139" s="13">
        <f>ROUND(SUM(I129:I138),5)</f>
        <v>6169.93</v>
      </c>
      <c r="J139" s="13">
        <f>ROUND(SUM(J129:J138),5)</f>
        <v>5483.24</v>
      </c>
      <c r="K139" s="19">
        <f>ROUND(SUM(K129:K138),5)</f>
        <v>9139.2800000000007</v>
      </c>
      <c r="L139" s="108">
        <f>ROUND(SUM(L132:L138),5)</f>
        <v>5630.33</v>
      </c>
      <c r="M139" s="108">
        <f>ROUND(SUM(M130:M138),5)</f>
        <v>9100</v>
      </c>
      <c r="N139" s="108">
        <f>ROUND(SUM(N130:N138),5)</f>
        <v>8500</v>
      </c>
      <c r="O139" s="34"/>
      <c r="P139" s="85"/>
      <c r="Q139" s="88"/>
    </row>
    <row r="140" spans="1:17" s="86" customFormat="1" ht="25.5" customHeight="1">
      <c r="A140" s="1"/>
      <c r="B140" s="1"/>
      <c r="C140" s="1"/>
      <c r="D140" s="1"/>
      <c r="E140" s="1" t="s">
        <v>70</v>
      </c>
      <c r="F140" s="1"/>
      <c r="G140" s="101">
        <v>0</v>
      </c>
      <c r="H140" s="101">
        <v>385</v>
      </c>
      <c r="I140" s="101">
        <v>806</v>
      </c>
      <c r="J140" s="101">
        <v>409</v>
      </c>
      <c r="K140" s="3">
        <v>421</v>
      </c>
      <c r="L140" s="97">
        <v>447</v>
      </c>
      <c r="M140" s="102">
        <v>450</v>
      </c>
      <c r="N140" s="102">
        <v>450</v>
      </c>
      <c r="O140" s="87"/>
      <c r="P140" s="85"/>
      <c r="Q140" s="88"/>
    </row>
    <row r="141" spans="1:17" s="86" customFormat="1" ht="11.25">
      <c r="A141" s="1"/>
      <c r="B141" s="1"/>
      <c r="C141" s="1"/>
      <c r="D141" s="1"/>
      <c r="E141" s="1" t="s">
        <v>158</v>
      </c>
      <c r="F141" s="1"/>
      <c r="G141" s="101">
        <v>5220.8599999999997</v>
      </c>
      <c r="H141" s="101">
        <v>2224.8000000000002</v>
      </c>
      <c r="I141" s="101">
        <v>4205.34</v>
      </c>
      <c r="J141" s="101">
        <v>5692.63</v>
      </c>
      <c r="K141" s="3">
        <v>5420.36</v>
      </c>
      <c r="L141" s="97">
        <v>6188.4</v>
      </c>
      <c r="M141" s="102">
        <v>5500</v>
      </c>
      <c r="N141" s="102">
        <v>6000</v>
      </c>
      <c r="O141" s="87"/>
      <c r="P141" s="85"/>
      <c r="Q141" s="88"/>
    </row>
    <row r="142" spans="1:17" s="86" customFormat="1" ht="11.25">
      <c r="A142" s="1"/>
      <c r="B142" s="1"/>
      <c r="C142" s="1"/>
      <c r="D142" s="1"/>
      <c r="E142" s="1" t="s">
        <v>71</v>
      </c>
      <c r="F142" s="1"/>
      <c r="G142" s="101"/>
      <c r="H142" s="101"/>
      <c r="I142" s="101"/>
      <c r="J142" s="101"/>
      <c r="K142" s="3"/>
      <c r="L142" s="97"/>
      <c r="M142" s="102"/>
      <c r="N142" s="102"/>
      <c r="O142" s="87"/>
      <c r="P142" s="85"/>
      <c r="Q142" s="88"/>
    </row>
    <row r="143" spans="1:17" s="86" customFormat="1" ht="22.5" hidden="1">
      <c r="A143" s="1"/>
      <c r="B143" s="1"/>
      <c r="C143" s="1"/>
      <c r="D143" s="1"/>
      <c r="E143" s="1"/>
      <c r="F143" s="50" t="s">
        <v>194</v>
      </c>
      <c r="G143" s="101"/>
      <c r="H143" s="101">
        <v>282.39999999999998</v>
      </c>
      <c r="I143" s="101">
        <v>250.4</v>
      </c>
      <c r="J143" s="101">
        <v>2415.6</v>
      </c>
      <c r="K143" s="3">
        <v>2952.4</v>
      </c>
      <c r="L143" s="97"/>
      <c r="M143" s="102">
        <v>0</v>
      </c>
      <c r="N143" s="102"/>
      <c r="O143" s="87"/>
      <c r="P143" s="85"/>
      <c r="Q143" s="88"/>
    </row>
    <row r="144" spans="1:17" s="86" customFormat="1" ht="11.25">
      <c r="A144" s="1"/>
      <c r="B144" s="1"/>
      <c r="C144" s="1"/>
      <c r="D144" s="1"/>
      <c r="E144" s="1"/>
      <c r="F144" s="1" t="s">
        <v>47</v>
      </c>
      <c r="G144" s="101">
        <v>17013.169999999998</v>
      </c>
      <c r="H144" s="101">
        <v>20764.86</v>
      </c>
      <c r="I144" s="101">
        <v>15656.61</v>
      </c>
      <c r="J144" s="101">
        <v>26224.2</v>
      </c>
      <c r="K144" s="3">
        <v>31243.26</v>
      </c>
      <c r="L144" s="97">
        <v>39810.54</v>
      </c>
      <c r="M144" s="102">
        <v>40000</v>
      </c>
      <c r="N144" s="102">
        <v>41200</v>
      </c>
      <c r="O144" s="87" t="s">
        <v>273</v>
      </c>
      <c r="P144" s="85"/>
      <c r="Q144" s="88"/>
    </row>
    <row r="145" spans="1:17" s="86" customFormat="1" ht="11.25">
      <c r="A145" s="1"/>
      <c r="B145" s="1"/>
      <c r="C145" s="1"/>
      <c r="D145" s="1"/>
      <c r="E145" s="1"/>
      <c r="F145" s="1" t="s">
        <v>72</v>
      </c>
      <c r="G145" s="101">
        <v>8103.24</v>
      </c>
      <c r="H145" s="101">
        <v>14665.12</v>
      </c>
      <c r="I145" s="101">
        <v>12580.99</v>
      </c>
      <c r="J145" s="101">
        <v>14076.79</v>
      </c>
      <c r="K145" s="3">
        <v>13326.04</v>
      </c>
      <c r="L145" s="97">
        <v>13077.5</v>
      </c>
      <c r="M145" s="102">
        <v>15545</v>
      </c>
      <c r="N145" s="102">
        <v>15648</v>
      </c>
      <c r="O145" s="87"/>
      <c r="P145" s="85"/>
      <c r="Q145" s="88"/>
    </row>
    <row r="146" spans="1:17" s="86" customFormat="1" ht="11.25">
      <c r="A146" s="1"/>
      <c r="B146" s="1"/>
      <c r="C146" s="1"/>
      <c r="D146" s="1"/>
      <c r="E146" s="1"/>
      <c r="F146" s="1" t="s">
        <v>49</v>
      </c>
      <c r="G146" s="101">
        <v>15684.83</v>
      </c>
      <c r="H146" s="101">
        <v>18359.72</v>
      </c>
      <c r="I146" s="101">
        <v>17530.560000000001</v>
      </c>
      <c r="J146" s="101">
        <v>18628.919999999998</v>
      </c>
      <c r="K146" s="3">
        <v>19301.55</v>
      </c>
      <c r="L146" s="97">
        <v>18727.63</v>
      </c>
      <c r="M146" s="102">
        <v>23721</v>
      </c>
      <c r="N146" s="102">
        <v>23584</v>
      </c>
      <c r="O146" s="87"/>
      <c r="P146" s="85"/>
      <c r="Q146" s="88"/>
    </row>
    <row r="147" spans="1:17" s="86" customFormat="1" ht="12" thickBot="1">
      <c r="A147" s="1"/>
      <c r="B147" s="1"/>
      <c r="C147" s="1"/>
      <c r="D147" s="1"/>
      <c r="E147" s="1"/>
      <c r="F147" s="1" t="s">
        <v>50</v>
      </c>
      <c r="G147" s="40">
        <v>191385.1</v>
      </c>
      <c r="H147" s="40">
        <v>207886.55</v>
      </c>
      <c r="I147" s="40">
        <v>234361.44</v>
      </c>
      <c r="J147" s="40">
        <v>261010.33</v>
      </c>
      <c r="K147" s="4">
        <v>251641.9</v>
      </c>
      <c r="L147" s="105">
        <v>239979.13</v>
      </c>
      <c r="M147" s="116">
        <v>267168</v>
      </c>
      <c r="N147" s="116">
        <v>267087</v>
      </c>
      <c r="O147" s="87"/>
      <c r="P147" s="85"/>
      <c r="Q147" s="88"/>
    </row>
    <row r="148" spans="1:17" s="86" customFormat="1" ht="11.25">
      <c r="A148" s="1"/>
      <c r="B148" s="1"/>
      <c r="C148" s="1"/>
      <c r="D148" s="1"/>
      <c r="E148" s="1" t="s">
        <v>73</v>
      </c>
      <c r="F148" s="1"/>
      <c r="G148" s="13">
        <f t="shared" ref="G148:N148" si="11">ROUND(SUM(G142:G147),5)</f>
        <v>232186.34</v>
      </c>
      <c r="H148" s="13">
        <f t="shared" si="11"/>
        <v>261958.65</v>
      </c>
      <c r="I148" s="13">
        <f t="shared" si="11"/>
        <v>280380</v>
      </c>
      <c r="J148" s="13">
        <f t="shared" si="11"/>
        <v>322355.84000000003</v>
      </c>
      <c r="K148" s="13">
        <f t="shared" si="11"/>
        <v>318465.15000000002</v>
      </c>
      <c r="L148" s="108">
        <f t="shared" si="11"/>
        <v>311594.8</v>
      </c>
      <c r="M148" s="108">
        <f t="shared" si="11"/>
        <v>346434</v>
      </c>
      <c r="N148" s="108">
        <f t="shared" si="11"/>
        <v>347519</v>
      </c>
      <c r="O148" s="34"/>
      <c r="P148" s="85"/>
      <c r="Q148" s="88"/>
    </row>
    <row r="149" spans="1:17" s="86" customFormat="1" ht="25.5" customHeight="1">
      <c r="A149" s="1"/>
      <c r="B149" s="1"/>
      <c r="C149" s="1"/>
      <c r="D149" s="1"/>
      <c r="E149" s="1" t="s">
        <v>140</v>
      </c>
      <c r="F149" s="1"/>
      <c r="G149" s="101"/>
      <c r="H149" s="101"/>
      <c r="I149" s="101"/>
      <c r="J149" s="101"/>
      <c r="K149" s="3">
        <v>91947.76</v>
      </c>
      <c r="L149" s="97">
        <v>665.26</v>
      </c>
      <c r="M149" s="102">
        <v>92000</v>
      </c>
      <c r="N149" s="102">
        <v>0</v>
      </c>
      <c r="O149" s="87" t="s">
        <v>267</v>
      </c>
      <c r="P149" s="85"/>
      <c r="Q149" s="88"/>
    </row>
    <row r="150" spans="1:17" s="86" customFormat="1" ht="11.25">
      <c r="A150" s="1"/>
      <c r="B150" s="1"/>
      <c r="C150" s="1"/>
      <c r="D150" s="1"/>
      <c r="E150" s="1" t="s">
        <v>141</v>
      </c>
      <c r="F150" s="1"/>
      <c r="G150" s="101">
        <v>1155.6600000000001</v>
      </c>
      <c r="H150" s="101">
        <v>4900.8599999999997</v>
      </c>
      <c r="I150" s="101">
        <v>1692.14</v>
      </c>
      <c r="J150" s="101">
        <v>768.41</v>
      </c>
      <c r="K150" s="3">
        <v>847.7</v>
      </c>
      <c r="L150" s="97">
        <v>1961.67</v>
      </c>
      <c r="M150" s="102">
        <v>2000</v>
      </c>
      <c r="N150" s="102">
        <v>2150</v>
      </c>
      <c r="O150" s="87"/>
      <c r="P150" s="85"/>
      <c r="Q150" s="88"/>
    </row>
    <row r="151" spans="1:17" s="86" customFormat="1" ht="12" thickBot="1">
      <c r="A151" s="1"/>
      <c r="B151" s="1"/>
      <c r="C151" s="1"/>
      <c r="D151" s="1"/>
      <c r="E151" s="1" t="s">
        <v>74</v>
      </c>
      <c r="F151" s="1"/>
      <c r="G151" s="103">
        <v>878.28</v>
      </c>
      <c r="H151" s="103">
        <v>2522.84</v>
      </c>
      <c r="I151" s="103">
        <v>2466.52</v>
      </c>
      <c r="J151" s="103">
        <v>3099.13</v>
      </c>
      <c r="K151" s="15">
        <v>2488.04</v>
      </c>
      <c r="L151" s="104">
        <v>2270.64</v>
      </c>
      <c r="M151" s="102">
        <v>3000</v>
      </c>
      <c r="N151" s="102">
        <v>2600</v>
      </c>
      <c r="O151" s="87"/>
      <c r="P151" s="85"/>
      <c r="Q151" s="88"/>
    </row>
    <row r="152" spans="1:17" s="86" customFormat="1" ht="24" customHeight="1">
      <c r="A152" s="1"/>
      <c r="B152" s="1"/>
      <c r="C152" s="1"/>
      <c r="D152" s="1" t="s">
        <v>75</v>
      </c>
      <c r="E152" s="1"/>
      <c r="F152" s="1"/>
      <c r="G152" s="70">
        <f t="shared" ref="G152:L152" si="12">ROUND(SUM(G119:G128)+SUM(G139:G141)+SUM(G148:G151),5)</f>
        <v>348001.59</v>
      </c>
      <c r="H152" s="70">
        <f t="shared" si="12"/>
        <v>424067.02</v>
      </c>
      <c r="I152" s="70">
        <f t="shared" si="12"/>
        <v>481524.34</v>
      </c>
      <c r="J152" s="70">
        <f t="shared" si="12"/>
        <v>447146.11</v>
      </c>
      <c r="K152" s="70">
        <f t="shared" si="12"/>
        <v>591092.09</v>
      </c>
      <c r="L152" s="113">
        <f t="shared" si="12"/>
        <v>450437.81</v>
      </c>
      <c r="M152" s="113">
        <f>ROUND(SUM(M120:M122)+M127+M128+SUM(M139:M141)+SUM(M148:M151),5)</f>
        <v>583584</v>
      </c>
      <c r="N152" s="113">
        <f>ROUND(SUM(N120:N122)+N127+N128+SUM(N139:N141)+SUM(N148:N151),5)</f>
        <v>488319</v>
      </c>
      <c r="O152" s="34"/>
      <c r="P152" s="85"/>
      <c r="Q152" s="88"/>
    </row>
    <row r="153" spans="1:17" s="86" customFormat="1" ht="25.5" customHeight="1">
      <c r="A153" s="1"/>
      <c r="B153" s="1"/>
      <c r="C153" s="1"/>
      <c r="D153" s="1" t="s">
        <v>76</v>
      </c>
      <c r="E153" s="1"/>
      <c r="F153" s="1"/>
      <c r="G153" s="101"/>
      <c r="H153" s="101"/>
      <c r="I153" s="101"/>
      <c r="J153" s="101"/>
      <c r="K153" s="3"/>
      <c r="L153" s="97"/>
      <c r="M153" s="102"/>
      <c r="N153" s="102"/>
      <c r="O153" s="87"/>
      <c r="P153" s="85"/>
      <c r="Q153" s="88"/>
    </row>
    <row r="154" spans="1:17" s="86" customFormat="1" ht="11.25">
      <c r="A154" s="1"/>
      <c r="B154" s="1"/>
      <c r="C154" s="1"/>
      <c r="D154" s="1"/>
      <c r="E154" s="1" t="s">
        <v>77</v>
      </c>
      <c r="F154" s="1"/>
      <c r="G154" s="101"/>
      <c r="H154" s="101"/>
      <c r="I154" s="101"/>
      <c r="J154" s="101"/>
      <c r="K154" s="3"/>
      <c r="L154" s="97"/>
      <c r="M154" s="102"/>
      <c r="N154" s="102"/>
      <c r="O154" s="87"/>
      <c r="P154" s="85"/>
      <c r="Q154" s="88"/>
    </row>
    <row r="155" spans="1:17" s="86" customFormat="1" ht="11.25">
      <c r="A155" s="1"/>
      <c r="B155" s="1"/>
      <c r="C155" s="1"/>
      <c r="D155" s="1"/>
      <c r="E155" s="1"/>
      <c r="F155" s="1" t="s">
        <v>122</v>
      </c>
      <c r="G155" s="101">
        <v>1402.51</v>
      </c>
      <c r="H155" s="101">
        <v>3620.99</v>
      </c>
      <c r="I155" s="101">
        <v>2624.02</v>
      </c>
      <c r="J155" s="101">
        <v>1027.8699999999999</v>
      </c>
      <c r="K155" s="3">
        <v>2531.38</v>
      </c>
      <c r="L155" s="97">
        <v>23.25</v>
      </c>
      <c r="M155" s="102">
        <v>200</v>
      </c>
      <c r="N155" s="102">
        <v>200</v>
      </c>
      <c r="O155" s="87"/>
      <c r="P155" s="85"/>
      <c r="Q155" s="88"/>
    </row>
    <row r="156" spans="1:17" s="86" customFormat="1" ht="11.25" hidden="1">
      <c r="A156" s="1"/>
      <c r="B156" s="1"/>
      <c r="C156" s="1"/>
      <c r="D156" s="1"/>
      <c r="E156" s="1"/>
      <c r="F156" s="1" t="s">
        <v>168</v>
      </c>
      <c r="G156" s="101"/>
      <c r="H156" s="101"/>
      <c r="I156" s="101"/>
      <c r="J156" s="101"/>
      <c r="K156" s="3"/>
      <c r="L156" s="97"/>
      <c r="M156" s="102">
        <v>0</v>
      </c>
      <c r="N156" s="102">
        <v>0</v>
      </c>
      <c r="O156" s="87"/>
      <c r="P156" s="85"/>
      <c r="Q156" s="88"/>
    </row>
    <row r="157" spans="1:17" s="86" customFormat="1" ht="11.25" hidden="1">
      <c r="A157" s="1"/>
      <c r="B157" s="1"/>
      <c r="C157" s="1"/>
      <c r="D157" s="1"/>
      <c r="E157" s="1"/>
      <c r="F157" s="1" t="s">
        <v>172</v>
      </c>
      <c r="G157" s="101"/>
      <c r="H157" s="101"/>
      <c r="I157" s="101"/>
      <c r="J157" s="101"/>
      <c r="K157" s="3"/>
      <c r="L157" s="97"/>
      <c r="M157" s="102">
        <v>0</v>
      </c>
      <c r="N157" s="102">
        <v>0</v>
      </c>
      <c r="O157" s="87"/>
      <c r="P157" s="85"/>
      <c r="Q157" s="88"/>
    </row>
    <row r="158" spans="1:17" s="86" customFormat="1" ht="12" thickBot="1">
      <c r="A158" s="1"/>
      <c r="B158" s="1"/>
      <c r="C158" s="1"/>
      <c r="D158" s="1"/>
      <c r="E158" s="1"/>
      <c r="F158" s="1" t="s">
        <v>196</v>
      </c>
      <c r="G158" s="101"/>
      <c r="H158" s="101"/>
      <c r="I158" s="101"/>
      <c r="J158" s="101"/>
      <c r="K158" s="3"/>
      <c r="L158" s="97">
        <v>23.64</v>
      </c>
      <c r="M158" s="116">
        <v>2800</v>
      </c>
      <c r="N158" s="116">
        <v>2800</v>
      </c>
      <c r="O158" s="87"/>
      <c r="P158" s="85"/>
      <c r="Q158" s="88"/>
    </row>
    <row r="159" spans="1:17" s="86" customFormat="1" ht="11.25">
      <c r="A159" s="1"/>
      <c r="B159" s="1"/>
      <c r="C159" s="1"/>
      <c r="D159" s="1"/>
      <c r="E159" s="1" t="s">
        <v>187</v>
      </c>
      <c r="F159" s="1"/>
      <c r="G159" s="101"/>
      <c r="H159" s="101"/>
      <c r="I159" s="101"/>
      <c r="J159" s="101"/>
      <c r="K159" s="3"/>
      <c r="L159" s="114">
        <f>SUM(L155:L158)</f>
        <v>46.89</v>
      </c>
      <c r="M159" s="109">
        <f>SUM(M155:M158)</f>
        <v>3000</v>
      </c>
      <c r="N159" s="109">
        <f>SUM(N155:N158)</f>
        <v>3000</v>
      </c>
      <c r="O159" s="87"/>
      <c r="P159" s="85"/>
      <c r="Q159" s="88"/>
    </row>
    <row r="160" spans="1:17" s="86" customFormat="1" ht="11.25">
      <c r="A160" s="1"/>
      <c r="B160" s="1"/>
      <c r="C160" s="1"/>
      <c r="D160" s="1"/>
      <c r="E160" s="1" t="s">
        <v>37</v>
      </c>
      <c r="F160" s="1"/>
      <c r="G160" s="101"/>
      <c r="H160" s="101"/>
      <c r="I160" s="101"/>
      <c r="J160" s="101"/>
      <c r="K160" s="3"/>
      <c r="L160" s="97"/>
      <c r="M160" s="102"/>
      <c r="N160" s="102"/>
      <c r="O160" s="87"/>
      <c r="P160" s="85"/>
      <c r="Q160" s="88"/>
    </row>
    <row r="161" spans="1:17" s="86" customFormat="1" ht="11.25">
      <c r="A161" s="1"/>
      <c r="B161" s="1"/>
      <c r="C161" s="1"/>
      <c r="D161" s="1"/>
      <c r="E161" s="1"/>
      <c r="F161" s="1" t="s">
        <v>78</v>
      </c>
      <c r="G161" s="101">
        <v>599.20000000000005</v>
      </c>
      <c r="H161" s="101">
        <v>573.16999999999996</v>
      </c>
      <c r="I161" s="101">
        <v>521.66</v>
      </c>
      <c r="J161" s="101">
        <v>516.23</v>
      </c>
      <c r="K161" s="3">
        <v>330.88</v>
      </c>
      <c r="L161" s="97">
        <v>536.20000000000005</v>
      </c>
      <c r="M161" s="102">
        <v>600</v>
      </c>
      <c r="N161" s="102">
        <v>600</v>
      </c>
      <c r="O161" s="87"/>
      <c r="P161" s="85"/>
      <c r="Q161" s="88"/>
    </row>
    <row r="162" spans="1:17" s="86" customFormat="1" ht="11.25">
      <c r="A162" s="1"/>
      <c r="B162" s="1"/>
      <c r="C162" s="1"/>
      <c r="D162" s="1"/>
      <c r="E162" s="1"/>
      <c r="F162" s="1" t="s">
        <v>212</v>
      </c>
      <c r="G162" s="101">
        <v>443.26</v>
      </c>
      <c r="H162" s="101">
        <v>2260.77</v>
      </c>
      <c r="I162" s="101">
        <v>359.19</v>
      </c>
      <c r="J162" s="101">
        <v>31.14</v>
      </c>
      <c r="K162" s="3">
        <v>1540.82</v>
      </c>
      <c r="L162" s="97">
        <v>83.57</v>
      </c>
      <c r="M162" s="102">
        <v>0</v>
      </c>
      <c r="N162" s="102">
        <v>100</v>
      </c>
      <c r="O162" s="87"/>
      <c r="P162" s="85"/>
      <c r="Q162" s="88"/>
    </row>
    <row r="163" spans="1:17" s="86" customFormat="1" ht="12" thickBot="1">
      <c r="A163" s="1"/>
      <c r="B163" s="1"/>
      <c r="C163" s="1"/>
      <c r="D163" s="1"/>
      <c r="E163" s="1"/>
      <c r="F163" s="1" t="s">
        <v>59</v>
      </c>
      <c r="G163" s="40">
        <v>5293.6</v>
      </c>
      <c r="H163" s="40">
        <v>5208.3500000000004</v>
      </c>
      <c r="I163" s="40">
        <v>2055.52</v>
      </c>
      <c r="J163" s="40">
        <v>3065.83</v>
      </c>
      <c r="K163" s="4">
        <v>3464.34</v>
      </c>
      <c r="L163" s="105">
        <v>2973.94</v>
      </c>
      <c r="M163" s="116">
        <v>3600</v>
      </c>
      <c r="N163" s="116">
        <v>3300</v>
      </c>
      <c r="O163" s="87"/>
      <c r="P163" s="85"/>
      <c r="Q163" s="88"/>
    </row>
    <row r="164" spans="1:17" s="86" customFormat="1" ht="11.25">
      <c r="A164" s="1"/>
      <c r="B164" s="1"/>
      <c r="C164" s="1"/>
      <c r="D164" s="1"/>
      <c r="E164" s="1" t="s">
        <v>39</v>
      </c>
      <c r="F164" s="1"/>
      <c r="G164" s="13">
        <f t="shared" ref="G164:N164" si="13">ROUND(SUM(G160:G163),5)</f>
        <v>6336.06</v>
      </c>
      <c r="H164" s="13">
        <f t="shared" si="13"/>
        <v>8042.29</v>
      </c>
      <c r="I164" s="13">
        <f t="shared" si="13"/>
        <v>2936.37</v>
      </c>
      <c r="J164" s="13">
        <f t="shared" si="13"/>
        <v>3613.2</v>
      </c>
      <c r="K164" s="13">
        <f t="shared" si="13"/>
        <v>5336.04</v>
      </c>
      <c r="L164" s="108">
        <f t="shared" si="13"/>
        <v>3593.71</v>
      </c>
      <c r="M164" s="108">
        <f t="shared" si="13"/>
        <v>4200</v>
      </c>
      <c r="N164" s="108">
        <f t="shared" si="13"/>
        <v>4000</v>
      </c>
      <c r="O164" s="34"/>
      <c r="P164" s="85"/>
      <c r="Q164" s="88"/>
    </row>
    <row r="165" spans="1:17" s="86" customFormat="1" ht="25.5" customHeight="1">
      <c r="A165" s="1"/>
      <c r="B165" s="1"/>
      <c r="C165" s="1"/>
      <c r="D165" s="1"/>
      <c r="E165" s="1" t="s">
        <v>79</v>
      </c>
      <c r="F165" s="1"/>
      <c r="G165" s="101"/>
      <c r="H165" s="101"/>
      <c r="I165" s="101"/>
      <c r="J165" s="101">
        <v>190.05</v>
      </c>
      <c r="K165" s="3">
        <v>0</v>
      </c>
      <c r="L165" s="97">
        <v>414.59</v>
      </c>
      <c r="M165" s="102">
        <v>0</v>
      </c>
      <c r="N165" s="102">
        <v>0</v>
      </c>
      <c r="O165" s="87"/>
      <c r="P165" s="85"/>
      <c r="Q165" s="88"/>
    </row>
    <row r="166" spans="1:17" s="86" customFormat="1" ht="11.25">
      <c r="A166" s="1"/>
      <c r="B166" s="1"/>
      <c r="C166" s="1"/>
      <c r="D166" s="1"/>
      <c r="E166" s="1" t="s">
        <v>80</v>
      </c>
      <c r="F166" s="1"/>
      <c r="G166" s="101"/>
      <c r="H166" s="101"/>
      <c r="I166" s="101"/>
      <c r="J166" s="101">
        <v>344.89</v>
      </c>
      <c r="K166" s="3">
        <v>0</v>
      </c>
      <c r="L166" s="97">
        <v>230.56</v>
      </c>
      <c r="M166" s="102">
        <v>0</v>
      </c>
      <c r="N166" s="102">
        <v>0</v>
      </c>
      <c r="O166" s="87"/>
      <c r="P166" s="85"/>
      <c r="Q166" s="88"/>
    </row>
    <row r="167" spans="1:17" s="86" customFormat="1" ht="25.5" customHeight="1">
      <c r="A167" s="1"/>
      <c r="B167" s="1"/>
      <c r="C167" s="1"/>
      <c r="D167" s="1"/>
      <c r="E167" s="1" t="s">
        <v>162</v>
      </c>
      <c r="F167" s="1"/>
      <c r="G167" s="101"/>
      <c r="H167" s="101"/>
      <c r="I167" s="101"/>
      <c r="J167" s="101"/>
      <c r="K167" s="3"/>
      <c r="L167" s="97">
        <v>187476.5</v>
      </c>
      <c r="M167" s="102">
        <v>0</v>
      </c>
      <c r="N167" s="102">
        <v>0</v>
      </c>
      <c r="O167" s="87"/>
      <c r="P167" s="85"/>
      <c r="Q167" s="88"/>
    </row>
    <row r="168" spans="1:17" s="86" customFormat="1" ht="22.5">
      <c r="A168" s="1"/>
      <c r="B168" s="1"/>
      <c r="C168" s="1"/>
      <c r="D168" s="1"/>
      <c r="E168" s="1"/>
      <c r="F168" s="50" t="s">
        <v>195</v>
      </c>
      <c r="G168" s="101"/>
      <c r="H168" s="101"/>
      <c r="I168" s="101"/>
      <c r="J168" s="101"/>
      <c r="K168" s="3"/>
      <c r="L168" s="97">
        <v>0</v>
      </c>
      <c r="M168" s="102">
        <v>1000</v>
      </c>
      <c r="N168" s="102">
        <v>2000</v>
      </c>
      <c r="O168" s="87"/>
      <c r="P168" s="85"/>
      <c r="Q168" s="88"/>
    </row>
    <row r="169" spans="1:17" s="86" customFormat="1" ht="12" thickBot="1">
      <c r="A169" s="1"/>
      <c r="B169" s="1"/>
      <c r="C169" s="1"/>
      <c r="D169" s="1"/>
      <c r="E169" s="1"/>
      <c r="F169" s="1" t="s">
        <v>81</v>
      </c>
      <c r="G169" s="40">
        <v>312.60000000000002</v>
      </c>
      <c r="H169" s="40">
        <v>276.10000000000002</v>
      </c>
      <c r="I169" s="40">
        <v>161.66</v>
      </c>
      <c r="J169" s="40">
        <v>2915.78</v>
      </c>
      <c r="K169" s="4">
        <v>625.20000000000005</v>
      </c>
      <c r="L169" s="105">
        <v>0</v>
      </c>
      <c r="M169" s="116">
        <v>750</v>
      </c>
      <c r="N169" s="116">
        <v>750</v>
      </c>
      <c r="O169" s="87"/>
      <c r="P169" s="85"/>
      <c r="Q169" s="88"/>
    </row>
    <row r="170" spans="1:17" s="86" customFormat="1" ht="11.25">
      <c r="A170" s="1"/>
      <c r="B170" s="1"/>
      <c r="C170" s="1"/>
      <c r="D170" s="1"/>
      <c r="E170" s="1" t="s">
        <v>82</v>
      </c>
      <c r="F170" s="1"/>
      <c r="G170" s="13">
        <f t="shared" ref="G170:N170" si="14">ROUND(SUM(G167:G169),5)</f>
        <v>312.60000000000002</v>
      </c>
      <c r="H170" s="13">
        <f t="shared" si="14"/>
        <v>276.10000000000002</v>
      </c>
      <c r="I170" s="13">
        <f t="shared" si="14"/>
        <v>161.66</v>
      </c>
      <c r="J170" s="13">
        <f t="shared" si="14"/>
        <v>2915.78</v>
      </c>
      <c r="K170" s="13">
        <f t="shared" si="14"/>
        <v>625.20000000000005</v>
      </c>
      <c r="L170" s="108">
        <f t="shared" si="14"/>
        <v>187476.5</v>
      </c>
      <c r="M170" s="108">
        <f t="shared" si="14"/>
        <v>1750</v>
      </c>
      <c r="N170" s="108">
        <f t="shared" si="14"/>
        <v>2750</v>
      </c>
      <c r="O170" s="34"/>
      <c r="P170" s="85"/>
      <c r="Q170" s="88"/>
    </row>
    <row r="171" spans="1:17" s="86" customFormat="1" ht="25.5" customHeight="1">
      <c r="A171" s="1"/>
      <c r="B171" s="1"/>
      <c r="C171" s="1"/>
      <c r="D171" s="1"/>
      <c r="E171" s="1" t="s">
        <v>83</v>
      </c>
      <c r="F171" s="1"/>
      <c r="G171" s="101">
        <v>269.08999999999997</v>
      </c>
      <c r="H171" s="101">
        <v>2160.87</v>
      </c>
      <c r="I171" s="101">
        <v>536.52</v>
      </c>
      <c r="J171" s="101">
        <v>327</v>
      </c>
      <c r="K171" s="3">
        <v>494.29</v>
      </c>
      <c r="L171" s="97">
        <v>598.4</v>
      </c>
      <c r="M171" s="102">
        <v>1000</v>
      </c>
      <c r="N171" s="102">
        <v>1000</v>
      </c>
      <c r="O171" s="87"/>
      <c r="P171" s="85"/>
      <c r="Q171" s="88"/>
    </row>
    <row r="172" spans="1:17" s="86" customFormat="1" ht="12" thickBot="1">
      <c r="A172" s="1"/>
      <c r="B172" s="1"/>
      <c r="C172" s="1"/>
      <c r="D172" s="1"/>
      <c r="E172" s="1" t="s">
        <v>60</v>
      </c>
      <c r="F172" s="1"/>
      <c r="G172" s="103">
        <v>889.64</v>
      </c>
      <c r="H172" s="103">
        <v>1757.12</v>
      </c>
      <c r="I172" s="103">
        <v>590.19000000000005</v>
      </c>
      <c r="J172" s="103">
        <v>482.92</v>
      </c>
      <c r="K172" s="15">
        <v>506.33</v>
      </c>
      <c r="L172" s="104">
        <v>578.24</v>
      </c>
      <c r="M172" s="102">
        <v>900</v>
      </c>
      <c r="N172" s="102">
        <v>700</v>
      </c>
      <c r="O172" s="87"/>
      <c r="P172" s="85"/>
      <c r="Q172" s="88"/>
    </row>
    <row r="173" spans="1:17" s="86" customFormat="1" ht="24" customHeight="1">
      <c r="A173" s="1"/>
      <c r="B173" s="1"/>
      <c r="C173" s="1"/>
      <c r="D173" s="1" t="s">
        <v>84</v>
      </c>
      <c r="E173" s="1"/>
      <c r="F173" s="1"/>
      <c r="G173" s="70">
        <f>ROUND(SUM(G159+G164)+SUM(G170:G172),5)</f>
        <v>7807.39</v>
      </c>
      <c r="H173" s="70">
        <f>ROUND(SUM(H159+H164)+SUM(H170:H172),5)</f>
        <v>12236.38</v>
      </c>
      <c r="I173" s="70">
        <f>ROUND(SUM(I159+I164)+SUM(I170:I172),5)</f>
        <v>4224.74</v>
      </c>
      <c r="J173" s="70">
        <f>ROUND(SUM(J159+J164)+SUM(J170:J172),5)</f>
        <v>7338.9</v>
      </c>
      <c r="K173" s="70">
        <f>ROUND(SUM(K159+K164)+SUM(K170:K172),5)</f>
        <v>6961.86</v>
      </c>
      <c r="L173" s="113">
        <f>+L159+L164+L165+L166+L170+L171+L172</f>
        <v>192938.88999999998</v>
      </c>
      <c r="M173" s="113">
        <f>+M159+M164+M165+M166+M170+M171+M172</f>
        <v>10850</v>
      </c>
      <c r="N173" s="113">
        <f>+N159+N164+N165+N166+N170+N171+N172</f>
        <v>11450</v>
      </c>
      <c r="O173" s="34"/>
      <c r="P173" s="85"/>
      <c r="Q173" s="88"/>
    </row>
    <row r="174" spans="1:17" s="86" customFormat="1" ht="25.5" customHeight="1">
      <c r="A174" s="1"/>
      <c r="B174" s="1"/>
      <c r="C174" s="1"/>
      <c r="D174" s="1" t="s">
        <v>171</v>
      </c>
      <c r="E174" s="1"/>
      <c r="F174" s="1"/>
      <c r="G174" s="101"/>
      <c r="H174" s="101"/>
      <c r="I174" s="101"/>
      <c r="J174" s="101"/>
      <c r="K174" s="3"/>
      <c r="L174" s="97"/>
      <c r="M174" s="102"/>
      <c r="N174" s="102"/>
      <c r="O174" s="87"/>
      <c r="P174" s="85"/>
      <c r="Q174" s="88"/>
    </row>
    <row r="175" spans="1:17" s="86" customFormat="1" ht="11.25">
      <c r="A175" s="1"/>
      <c r="B175" s="1"/>
      <c r="C175" s="1"/>
      <c r="D175" s="1"/>
      <c r="E175" s="1" t="s">
        <v>170</v>
      </c>
      <c r="F175" s="9"/>
      <c r="G175" s="101">
        <v>964</v>
      </c>
      <c r="H175" s="101">
        <v>964</v>
      </c>
      <c r="I175" s="101">
        <v>854</v>
      </c>
      <c r="J175" s="101">
        <v>825</v>
      </c>
      <c r="K175" s="3">
        <v>943</v>
      </c>
      <c r="L175" s="97">
        <v>802</v>
      </c>
      <c r="M175" s="102">
        <v>850</v>
      </c>
      <c r="N175" s="102">
        <v>847</v>
      </c>
      <c r="O175" s="87"/>
      <c r="P175" s="85"/>
      <c r="Q175" s="88"/>
    </row>
    <row r="176" spans="1:17" s="86" customFormat="1" ht="11.25">
      <c r="A176" s="1"/>
      <c r="B176" s="1"/>
      <c r="C176" s="1"/>
      <c r="D176" s="1"/>
      <c r="E176" s="32" t="s">
        <v>85</v>
      </c>
      <c r="F176" s="32"/>
      <c r="G176" s="115">
        <v>1378</v>
      </c>
      <c r="H176" s="115">
        <v>1520.66</v>
      </c>
      <c r="I176" s="115">
        <v>4580.57</v>
      </c>
      <c r="J176" s="115">
        <v>124.06</v>
      </c>
      <c r="K176" s="16">
        <v>507.65</v>
      </c>
      <c r="L176" s="110">
        <v>3302.23</v>
      </c>
      <c r="M176" s="102">
        <v>1700</v>
      </c>
      <c r="N176" s="102">
        <v>2500</v>
      </c>
      <c r="O176" s="87"/>
      <c r="P176" s="85"/>
      <c r="Q176" s="88"/>
    </row>
    <row r="177" spans="1:22" s="86" customFormat="1" ht="11.25">
      <c r="A177" s="1"/>
      <c r="B177" s="1"/>
      <c r="C177" s="1"/>
      <c r="D177" s="1"/>
      <c r="E177" s="32" t="s">
        <v>222</v>
      </c>
      <c r="F177" s="32"/>
      <c r="G177" s="93">
        <v>26043.75</v>
      </c>
      <c r="H177" s="93">
        <v>36921.01</v>
      </c>
      <c r="I177" s="93">
        <v>22331.35</v>
      </c>
      <c r="J177" s="93">
        <v>13955.029999999999</v>
      </c>
      <c r="K177" s="93">
        <v>14083.05</v>
      </c>
      <c r="L177" s="123">
        <v>12981.69</v>
      </c>
      <c r="M177" s="102">
        <f>5000+10000</f>
        <v>15000</v>
      </c>
      <c r="N177" s="102">
        <v>17000</v>
      </c>
      <c r="O177" s="87" t="s">
        <v>264</v>
      </c>
      <c r="P177" s="85"/>
      <c r="Q177" s="88"/>
    </row>
    <row r="178" spans="1:22" s="86" customFormat="1" ht="11.25">
      <c r="A178" s="1"/>
      <c r="B178" s="1"/>
      <c r="C178" s="1"/>
      <c r="D178" s="1"/>
      <c r="E178" s="32" t="s">
        <v>249</v>
      </c>
      <c r="F178" s="32"/>
      <c r="G178" s="115">
        <v>7470.54</v>
      </c>
      <c r="H178" s="115">
        <v>20710.48</v>
      </c>
      <c r="I178" s="115">
        <v>6761.68</v>
      </c>
      <c r="J178" s="115">
        <v>869.42</v>
      </c>
      <c r="K178" s="16">
        <v>2552.8200000000002</v>
      </c>
      <c r="L178" s="110">
        <v>2362.1799999999998</v>
      </c>
      <c r="M178" s="102">
        <v>8000</v>
      </c>
      <c r="N178" s="102">
        <v>8000</v>
      </c>
      <c r="O178" s="87"/>
      <c r="P178" s="85"/>
      <c r="Q178" s="88"/>
    </row>
    <row r="179" spans="1:22" s="86" customFormat="1" ht="11.25">
      <c r="A179" s="1"/>
      <c r="B179" s="1"/>
      <c r="C179" s="1"/>
      <c r="D179" s="1"/>
      <c r="E179" s="32" t="s">
        <v>86</v>
      </c>
      <c r="F179" s="32"/>
      <c r="G179" s="115"/>
      <c r="H179" s="115"/>
      <c r="I179" s="115"/>
      <c r="J179" s="115"/>
      <c r="K179" s="16"/>
      <c r="L179" s="110"/>
      <c r="M179" s="102"/>
      <c r="N179" s="102"/>
      <c r="O179" s="87"/>
      <c r="P179" s="85"/>
      <c r="Q179" s="88"/>
    </row>
    <row r="180" spans="1:22" s="86" customFormat="1" ht="11.25">
      <c r="A180" s="1"/>
      <c r="B180" s="1"/>
      <c r="C180" s="1"/>
      <c r="D180" s="1"/>
      <c r="E180" s="32"/>
      <c r="F180" s="32" t="s">
        <v>87</v>
      </c>
      <c r="G180" s="115">
        <v>47.62</v>
      </c>
      <c r="H180" s="115">
        <v>0</v>
      </c>
      <c r="I180" s="115">
        <v>0</v>
      </c>
      <c r="J180" s="115">
        <v>53.01</v>
      </c>
      <c r="K180" s="16">
        <v>0</v>
      </c>
      <c r="L180" s="110">
        <v>0</v>
      </c>
      <c r="M180" s="102">
        <v>108</v>
      </c>
      <c r="N180" s="102">
        <v>0</v>
      </c>
      <c r="O180" s="87" t="s">
        <v>258</v>
      </c>
      <c r="P180" s="85"/>
      <c r="Q180" s="88"/>
    </row>
    <row r="181" spans="1:22" s="86" customFormat="1" ht="12" thickBot="1">
      <c r="A181" s="1"/>
      <c r="B181" s="1"/>
      <c r="C181" s="1"/>
      <c r="D181" s="1"/>
      <c r="E181" s="32"/>
      <c r="F181" s="32" t="s">
        <v>248</v>
      </c>
      <c r="G181" s="124">
        <v>600</v>
      </c>
      <c r="H181" s="124">
        <v>0</v>
      </c>
      <c r="I181" s="124">
        <v>0</v>
      </c>
      <c r="J181" s="124">
        <v>1200</v>
      </c>
      <c r="K181" s="94">
        <v>0</v>
      </c>
      <c r="L181" s="106">
        <v>29.99</v>
      </c>
      <c r="M181" s="116">
        <v>600</v>
      </c>
      <c r="N181" s="116">
        <v>0</v>
      </c>
      <c r="O181" s="87" t="s">
        <v>257</v>
      </c>
      <c r="P181" s="85"/>
      <c r="Q181" s="88"/>
    </row>
    <row r="182" spans="1:22" s="86" customFormat="1" ht="12" thickBot="1">
      <c r="A182" s="1"/>
      <c r="B182" s="1"/>
      <c r="C182" s="1"/>
      <c r="D182" s="1"/>
      <c r="E182" s="1" t="s">
        <v>88</v>
      </c>
      <c r="F182" s="1"/>
      <c r="G182" s="14">
        <f t="shared" ref="G182:N182" si="15">ROUND(SUM(G179:G181),5)</f>
        <v>647.62</v>
      </c>
      <c r="H182" s="14">
        <f t="shared" si="15"/>
        <v>0</v>
      </c>
      <c r="I182" s="14">
        <f t="shared" si="15"/>
        <v>0</v>
      </c>
      <c r="J182" s="14">
        <f t="shared" si="15"/>
        <v>1253.01</v>
      </c>
      <c r="K182" s="14">
        <f t="shared" si="15"/>
        <v>0</v>
      </c>
      <c r="L182" s="118">
        <f t="shared" si="15"/>
        <v>29.99</v>
      </c>
      <c r="M182" s="118">
        <f t="shared" si="15"/>
        <v>708</v>
      </c>
      <c r="N182" s="118">
        <f t="shared" si="15"/>
        <v>0</v>
      </c>
      <c r="O182" s="34"/>
      <c r="P182" s="85"/>
      <c r="Q182" s="88"/>
    </row>
    <row r="183" spans="1:22" s="86" customFormat="1" ht="24" customHeight="1">
      <c r="A183" s="1"/>
      <c r="B183" s="1"/>
      <c r="C183" s="1"/>
      <c r="D183" s="1" t="s">
        <v>89</v>
      </c>
      <c r="E183" s="1"/>
      <c r="F183" s="1"/>
      <c r="G183" s="13">
        <f t="shared" ref="G183:N183" si="16">ROUND(SUM(G174:G178)+SUM(G182:G182),5)</f>
        <v>36503.910000000003</v>
      </c>
      <c r="H183" s="13">
        <f t="shared" si="16"/>
        <v>60116.15</v>
      </c>
      <c r="I183" s="13">
        <f t="shared" si="16"/>
        <v>34527.599999999999</v>
      </c>
      <c r="J183" s="13">
        <f t="shared" si="16"/>
        <v>17026.52</v>
      </c>
      <c r="K183" s="13">
        <f t="shared" si="16"/>
        <v>18086.52</v>
      </c>
      <c r="L183" s="108">
        <f t="shared" si="16"/>
        <v>19478.09</v>
      </c>
      <c r="M183" s="108">
        <f t="shared" si="16"/>
        <v>26258</v>
      </c>
      <c r="N183" s="108">
        <f t="shared" si="16"/>
        <v>28347</v>
      </c>
      <c r="O183" s="34"/>
      <c r="P183" s="85"/>
      <c r="Q183" s="88"/>
    </row>
    <row r="184" spans="1:22" s="85" customFormat="1" ht="24" customHeight="1" thickBot="1">
      <c r="A184" s="32"/>
      <c r="B184" s="32"/>
      <c r="C184" s="32"/>
      <c r="D184" s="32"/>
      <c r="E184" s="32"/>
      <c r="F184" s="32"/>
      <c r="G184" s="16"/>
      <c r="H184" s="16"/>
      <c r="I184" s="16"/>
      <c r="J184" s="16"/>
      <c r="K184" s="16"/>
      <c r="L184" s="110"/>
      <c r="M184" s="106"/>
      <c r="N184" s="106"/>
      <c r="O184" s="34"/>
      <c r="Q184" s="88"/>
    </row>
    <row r="185" spans="1:22" s="86" customFormat="1" ht="25.5" customHeight="1" thickBot="1">
      <c r="A185" s="1"/>
      <c r="B185" s="1"/>
      <c r="C185" s="1" t="s">
        <v>93</v>
      </c>
      <c r="D185" s="1"/>
      <c r="E185" s="1"/>
      <c r="F185" s="1"/>
      <c r="G185" s="14">
        <f>ROUND(G49+G103+G118+G152+G173+G183+G251,5)</f>
        <v>590911.80000000005</v>
      </c>
      <c r="H185" s="14">
        <f>ROUND(H49+H103+H118+H152+H173+H183+H251,5)</f>
        <v>679083.98</v>
      </c>
      <c r="I185" s="14">
        <f t="shared" ref="I185:N185" si="17">ROUND(I49+I103+I118+I152+I173+I183+I242,5)</f>
        <v>699558.58</v>
      </c>
      <c r="J185" s="14">
        <f t="shared" si="17"/>
        <v>698620.97</v>
      </c>
      <c r="K185" s="14">
        <f t="shared" si="17"/>
        <v>847854.25</v>
      </c>
      <c r="L185" s="118">
        <f t="shared" si="17"/>
        <v>870597.65</v>
      </c>
      <c r="M185" s="118">
        <f t="shared" si="17"/>
        <v>821186</v>
      </c>
      <c r="N185" s="118">
        <f t="shared" si="17"/>
        <v>764555.72</v>
      </c>
      <c r="O185" s="34"/>
      <c r="P185" s="85"/>
      <c r="Q185" s="88"/>
    </row>
    <row r="186" spans="1:22" s="86" customFormat="1" ht="25.5" customHeight="1">
      <c r="A186" s="1"/>
      <c r="B186" s="32" t="s">
        <v>239</v>
      </c>
      <c r="C186" s="32"/>
      <c r="D186" s="32"/>
      <c r="E186" s="32"/>
      <c r="F186" s="32"/>
      <c r="G186" s="16"/>
      <c r="H186" s="16"/>
      <c r="I186" s="16"/>
      <c r="J186" s="16"/>
      <c r="K186" s="16"/>
      <c r="L186" s="110"/>
      <c r="M186" s="102"/>
      <c r="N186" s="102"/>
      <c r="O186" s="84"/>
      <c r="P186" s="85"/>
      <c r="Q186" s="85"/>
      <c r="R186" s="85"/>
      <c r="S186" s="85"/>
      <c r="T186" s="85"/>
      <c r="U186" s="85"/>
      <c r="V186" s="85"/>
    </row>
    <row r="187" spans="1:22" s="86" customFormat="1" ht="13.5" customHeight="1">
      <c r="A187" s="1"/>
      <c r="B187" s="32"/>
      <c r="C187" s="75" t="s">
        <v>224</v>
      </c>
      <c r="D187" s="32"/>
      <c r="E187" s="32"/>
      <c r="F187" s="32"/>
      <c r="G187" s="16"/>
      <c r="H187" s="16"/>
      <c r="I187" s="16"/>
      <c r="J187" s="16"/>
      <c r="K187" s="16"/>
      <c r="L187" s="110"/>
      <c r="M187" s="102"/>
      <c r="N187" s="102"/>
      <c r="O187" s="84" t="s">
        <v>255</v>
      </c>
      <c r="P187" s="85"/>
      <c r="Q187" s="85"/>
      <c r="R187" s="85"/>
      <c r="S187" s="85"/>
      <c r="T187" s="85"/>
      <c r="U187" s="85"/>
      <c r="V187" s="85"/>
    </row>
    <row r="188" spans="1:22" s="86" customFormat="1" ht="23.25" customHeight="1">
      <c r="A188" s="1"/>
      <c r="B188" s="32"/>
      <c r="C188" s="32"/>
      <c r="D188" s="32"/>
      <c r="E188" s="145" t="s">
        <v>178</v>
      </c>
      <c r="F188" s="145"/>
      <c r="G188" s="125"/>
      <c r="H188" s="125"/>
      <c r="I188" s="125"/>
      <c r="J188" s="125"/>
      <c r="K188" s="34"/>
      <c r="L188" s="121">
        <v>0</v>
      </c>
      <c r="M188" s="98">
        <v>0</v>
      </c>
      <c r="N188" s="98">
        <v>0</v>
      </c>
      <c r="O188" s="87">
        <v>34550</v>
      </c>
      <c r="P188" s="85"/>
      <c r="Q188" s="88"/>
      <c r="R188" s="85"/>
      <c r="S188" s="85"/>
      <c r="T188" s="85"/>
      <c r="U188" s="85"/>
      <c r="V188" s="85"/>
    </row>
    <row r="189" spans="1:22" s="86" customFormat="1" ht="27.75" customHeight="1" thickBot="1">
      <c r="A189" s="1"/>
      <c r="B189" s="71"/>
      <c r="C189" s="32"/>
      <c r="D189" s="32"/>
      <c r="E189" s="144" t="s">
        <v>252</v>
      </c>
      <c r="F189" s="144"/>
      <c r="G189" s="124"/>
      <c r="H189" s="124"/>
      <c r="I189" s="124"/>
      <c r="J189" s="124"/>
      <c r="K189" s="94"/>
      <c r="L189" s="106">
        <v>0</v>
      </c>
      <c r="M189" s="106">
        <v>1000</v>
      </c>
      <c r="N189" s="106">
        <v>1500</v>
      </c>
      <c r="O189" s="89">
        <v>1000</v>
      </c>
      <c r="P189" s="85"/>
      <c r="Q189" s="88"/>
      <c r="R189" s="85"/>
      <c r="S189" s="85"/>
      <c r="T189" s="85"/>
      <c r="U189" s="85"/>
      <c r="V189" s="85"/>
    </row>
    <row r="190" spans="1:22" s="85" customFormat="1" ht="16.5" customHeight="1">
      <c r="A190" s="32"/>
      <c r="B190" s="71"/>
      <c r="C190" s="32"/>
      <c r="D190" s="32" t="s">
        <v>225</v>
      </c>
      <c r="E190" s="49"/>
      <c r="F190" s="49"/>
      <c r="G190" s="34">
        <f t="shared" ref="G190:O190" si="18">SUM(G188:G189)</f>
        <v>0</v>
      </c>
      <c r="H190" s="34">
        <f t="shared" si="18"/>
        <v>0</v>
      </c>
      <c r="I190" s="34">
        <f t="shared" si="18"/>
        <v>0</v>
      </c>
      <c r="J190" s="34">
        <f t="shared" si="18"/>
        <v>0</v>
      </c>
      <c r="K190" s="34">
        <f t="shared" si="18"/>
        <v>0</v>
      </c>
      <c r="L190" s="108">
        <f t="shared" si="18"/>
        <v>0</v>
      </c>
      <c r="M190" s="108">
        <f t="shared" si="18"/>
        <v>1000</v>
      </c>
      <c r="N190" s="108">
        <f t="shared" si="18"/>
        <v>1500</v>
      </c>
      <c r="O190" s="74">
        <f t="shared" si="18"/>
        <v>35550</v>
      </c>
      <c r="Q190" s="88"/>
    </row>
    <row r="191" spans="1:22" s="86" customFormat="1" ht="11.25">
      <c r="A191" s="1"/>
      <c r="B191" s="32"/>
      <c r="C191" s="75" t="s">
        <v>226</v>
      </c>
      <c r="D191" s="32"/>
      <c r="E191" s="32"/>
      <c r="F191" s="32"/>
      <c r="G191" s="125"/>
      <c r="H191" s="125"/>
      <c r="I191" s="125"/>
      <c r="J191" s="125"/>
      <c r="K191" s="34"/>
      <c r="L191" s="121">
        <v>30000</v>
      </c>
      <c r="M191" s="110"/>
      <c r="N191" s="110">
        <v>0</v>
      </c>
      <c r="O191" s="89"/>
      <c r="P191" s="85"/>
      <c r="Q191" s="88"/>
      <c r="R191" s="85"/>
      <c r="S191" s="85"/>
      <c r="T191" s="85"/>
      <c r="U191" s="85"/>
      <c r="V191" s="85"/>
    </row>
    <row r="192" spans="1:22" s="86" customFormat="1" ht="24.75" customHeight="1">
      <c r="A192" s="1"/>
      <c r="B192" s="32"/>
      <c r="C192" s="32"/>
      <c r="D192" s="32"/>
      <c r="E192" s="144" t="s">
        <v>251</v>
      </c>
      <c r="F192" s="147"/>
      <c r="G192" s="49"/>
      <c r="H192" s="125"/>
      <c r="I192" s="125"/>
      <c r="J192" s="125"/>
      <c r="K192" s="34"/>
      <c r="L192" s="121">
        <v>0</v>
      </c>
      <c r="M192" s="110">
        <v>9000</v>
      </c>
      <c r="N192" s="110">
        <v>9000</v>
      </c>
      <c r="O192" s="89">
        <v>108478</v>
      </c>
      <c r="P192" s="85"/>
      <c r="Q192" s="88"/>
      <c r="R192" s="85"/>
      <c r="S192" s="85"/>
      <c r="T192" s="85"/>
      <c r="U192" s="85"/>
      <c r="V192" s="85"/>
    </row>
    <row r="193" spans="1:22" s="86" customFormat="1" ht="11.25">
      <c r="A193" s="1"/>
      <c r="B193" s="32"/>
      <c r="C193" s="32"/>
      <c r="D193" s="32"/>
      <c r="E193" s="144" t="s">
        <v>206</v>
      </c>
      <c r="F193" s="147"/>
      <c r="G193" s="49"/>
      <c r="H193" s="125"/>
      <c r="I193" s="125"/>
      <c r="J193" s="125"/>
      <c r="K193" s="34"/>
      <c r="L193" s="121">
        <v>0</v>
      </c>
      <c r="M193" s="110">
        <v>19000</v>
      </c>
      <c r="N193" s="110">
        <f>26000+7500</f>
        <v>33500</v>
      </c>
      <c r="O193" s="89">
        <v>19000</v>
      </c>
      <c r="P193" s="85"/>
      <c r="Q193" s="88"/>
      <c r="R193" s="85"/>
      <c r="S193" s="85"/>
      <c r="T193" s="85"/>
      <c r="U193" s="85"/>
      <c r="V193" s="85"/>
    </row>
    <row r="194" spans="1:22" s="86" customFormat="1" ht="24.75" customHeight="1">
      <c r="A194" s="1"/>
      <c r="B194" s="32"/>
      <c r="C194" s="32"/>
      <c r="D194" s="32"/>
      <c r="E194" s="144" t="s">
        <v>254</v>
      </c>
      <c r="F194" s="144"/>
      <c r="G194" s="125"/>
      <c r="H194" s="125"/>
      <c r="I194" s="125"/>
      <c r="J194" s="125"/>
      <c r="K194" s="34"/>
      <c r="L194" s="121">
        <v>0</v>
      </c>
      <c r="M194" s="110">
        <v>6000</v>
      </c>
      <c r="N194" s="110">
        <v>3000</v>
      </c>
      <c r="O194" s="89">
        <v>6000</v>
      </c>
      <c r="P194" s="85"/>
      <c r="Q194" s="88"/>
      <c r="R194" s="85"/>
      <c r="S194" s="85"/>
      <c r="T194" s="85"/>
      <c r="U194" s="85"/>
      <c r="V194" s="85"/>
    </row>
    <row r="195" spans="1:22" s="86" customFormat="1" ht="36.75" customHeight="1" thickBot="1">
      <c r="A195" s="1"/>
      <c r="B195" s="32"/>
      <c r="C195" s="32"/>
      <c r="D195" s="32"/>
      <c r="E195" s="144" t="s">
        <v>269</v>
      </c>
      <c r="F195" s="144"/>
      <c r="G195" s="125"/>
      <c r="H195" s="125"/>
      <c r="I195" s="125"/>
      <c r="J195" s="125"/>
      <c r="K195" s="34"/>
      <c r="L195" s="121">
        <v>0</v>
      </c>
      <c r="M195" s="110">
        <v>5000</v>
      </c>
      <c r="N195" s="110">
        <v>20000</v>
      </c>
      <c r="O195" s="89">
        <v>5000</v>
      </c>
      <c r="P195" s="85"/>
      <c r="Q195" s="88"/>
      <c r="R195" s="85"/>
      <c r="S195" s="85"/>
      <c r="T195" s="85"/>
      <c r="U195" s="85"/>
      <c r="V195" s="85"/>
    </row>
    <row r="196" spans="1:22" s="86" customFormat="1" ht="15.75" customHeight="1">
      <c r="A196" s="1"/>
      <c r="B196" s="32"/>
      <c r="C196" s="32"/>
      <c r="D196" s="32" t="s">
        <v>227</v>
      </c>
      <c r="E196" s="49"/>
      <c r="F196" s="49"/>
      <c r="G196" s="125"/>
      <c r="H196" s="126"/>
      <c r="I196" s="126"/>
      <c r="J196" s="126"/>
      <c r="K196" s="74"/>
      <c r="L196" s="113">
        <f>SUM(L191:L195)</f>
        <v>30000</v>
      </c>
      <c r="M196" s="113">
        <f>SUM(M191:M195)</f>
        <v>39000</v>
      </c>
      <c r="N196" s="113">
        <f>SUM(N191:N195)</f>
        <v>65500</v>
      </c>
      <c r="O196" s="90">
        <f>SUM(O191:O195)</f>
        <v>138478</v>
      </c>
      <c r="P196" s="85"/>
      <c r="Q196" s="88"/>
      <c r="R196" s="85"/>
      <c r="S196" s="85"/>
      <c r="T196" s="85"/>
      <c r="U196" s="85"/>
      <c r="V196" s="85"/>
    </row>
    <row r="197" spans="1:22" s="86" customFormat="1" ht="15.75" customHeight="1">
      <c r="A197" s="1"/>
      <c r="B197" s="32"/>
      <c r="C197" s="75" t="s">
        <v>228</v>
      </c>
      <c r="D197" s="32"/>
      <c r="E197" s="49"/>
      <c r="F197" s="49"/>
      <c r="G197" s="125"/>
      <c r="H197" s="125"/>
      <c r="I197" s="125"/>
      <c r="J197" s="125"/>
      <c r="K197" s="34"/>
      <c r="L197" s="121"/>
      <c r="M197" s="121"/>
      <c r="N197" s="121"/>
      <c r="O197" s="89"/>
      <c r="P197" s="85"/>
      <c r="Q197" s="88"/>
      <c r="R197" s="85"/>
      <c r="S197" s="85"/>
      <c r="T197" s="85"/>
      <c r="U197" s="85"/>
      <c r="V197" s="85"/>
    </row>
    <row r="198" spans="1:22" s="86" customFormat="1" ht="11.25">
      <c r="A198" s="1"/>
      <c r="B198" s="71"/>
      <c r="C198" s="32"/>
      <c r="D198" s="32"/>
      <c r="E198" s="144" t="s">
        <v>236</v>
      </c>
      <c r="F198" s="144"/>
      <c r="G198" s="125"/>
      <c r="H198" s="125"/>
      <c r="I198" s="125"/>
      <c r="J198" s="125"/>
      <c r="K198" s="34"/>
      <c r="L198" s="98">
        <v>46000</v>
      </c>
      <c r="M198" s="102">
        <v>46000</v>
      </c>
      <c r="N198" s="102">
        <v>49000</v>
      </c>
      <c r="O198" s="87">
        <v>46000</v>
      </c>
      <c r="P198" s="85" t="s">
        <v>268</v>
      </c>
      <c r="Q198" s="88"/>
      <c r="R198" s="85"/>
      <c r="S198" s="85"/>
      <c r="T198" s="85"/>
      <c r="U198" s="85"/>
      <c r="V198" s="85"/>
    </row>
    <row r="199" spans="1:22" s="86" customFormat="1" ht="24" customHeight="1">
      <c r="A199" s="22"/>
      <c r="B199" s="71"/>
      <c r="C199" s="32"/>
      <c r="D199" s="32"/>
      <c r="E199" s="144" t="s">
        <v>237</v>
      </c>
      <c r="F199" s="144"/>
      <c r="G199" s="125"/>
      <c r="H199" s="125"/>
      <c r="I199" s="125"/>
      <c r="J199" s="125"/>
      <c r="K199" s="34"/>
      <c r="L199" s="98">
        <v>20000</v>
      </c>
      <c r="M199" s="102">
        <v>12000</v>
      </c>
      <c r="N199" s="102">
        <v>9000</v>
      </c>
      <c r="O199" s="87">
        <v>0</v>
      </c>
      <c r="P199" s="85"/>
      <c r="Q199" s="88"/>
      <c r="R199" s="88"/>
      <c r="S199" s="85"/>
      <c r="T199" s="85"/>
      <c r="U199" s="85"/>
      <c r="V199" s="85"/>
    </row>
    <row r="200" spans="1:22" s="86" customFormat="1" ht="26.25" customHeight="1" thickBot="1">
      <c r="A200" s="22"/>
      <c r="B200" s="71"/>
      <c r="C200" s="32"/>
      <c r="D200" s="32"/>
      <c r="E200" s="144" t="s">
        <v>253</v>
      </c>
      <c r="F200" s="144"/>
      <c r="G200" s="124"/>
      <c r="H200" s="124"/>
      <c r="I200" s="124"/>
      <c r="J200" s="124"/>
      <c r="K200" s="94"/>
      <c r="L200" s="106">
        <v>0</v>
      </c>
      <c r="M200" s="116">
        <v>1000</v>
      </c>
      <c r="N200" s="116">
        <v>1000</v>
      </c>
      <c r="O200" s="87">
        <v>1000</v>
      </c>
      <c r="P200" s="85"/>
      <c r="Q200" s="88"/>
      <c r="R200" s="85"/>
      <c r="S200" s="85"/>
      <c r="T200" s="85"/>
      <c r="U200" s="85"/>
      <c r="V200" s="85"/>
    </row>
    <row r="201" spans="1:22" s="85" customFormat="1" ht="15" customHeight="1">
      <c r="A201" s="71"/>
      <c r="B201" s="71"/>
      <c r="C201" s="32"/>
      <c r="D201" s="32" t="s">
        <v>229</v>
      </c>
      <c r="E201" s="49"/>
      <c r="F201" s="49"/>
      <c r="G201" s="125"/>
      <c r="H201" s="125"/>
      <c r="I201" s="125"/>
      <c r="J201" s="125"/>
      <c r="K201" s="34"/>
      <c r="L201" s="108">
        <f>SUM(L198:L200)</f>
        <v>66000</v>
      </c>
      <c r="M201" s="108">
        <f>SUM(M198:M200)</f>
        <v>59000</v>
      </c>
      <c r="N201" s="108">
        <f>SUM(N198:N200)</f>
        <v>59000</v>
      </c>
      <c r="O201" s="91">
        <f>SUM(O198:O200)</f>
        <v>47000</v>
      </c>
      <c r="Q201" s="88"/>
    </row>
    <row r="202" spans="1:22" s="85" customFormat="1" ht="17.25" customHeight="1">
      <c r="A202" s="71"/>
      <c r="B202" s="71"/>
      <c r="C202" s="75" t="s">
        <v>230</v>
      </c>
      <c r="D202" s="32"/>
      <c r="E202" s="49"/>
      <c r="F202" s="49"/>
      <c r="G202" s="125"/>
      <c r="H202" s="125"/>
      <c r="I202" s="125"/>
      <c r="J202" s="125"/>
      <c r="K202" s="34"/>
      <c r="L202" s="98"/>
      <c r="M202" s="98"/>
      <c r="N202" s="98"/>
      <c r="O202" s="87"/>
      <c r="Q202" s="88"/>
    </row>
    <row r="203" spans="1:22" s="86" customFormat="1" ht="24.75" customHeight="1">
      <c r="A203" s="1"/>
      <c r="B203" s="32"/>
      <c r="C203" s="32"/>
      <c r="D203" s="30"/>
      <c r="E203" s="144" t="s">
        <v>279</v>
      </c>
      <c r="F203" s="144"/>
      <c r="G203" s="125"/>
      <c r="H203" s="125"/>
      <c r="I203" s="125"/>
      <c r="J203" s="125"/>
      <c r="K203" s="34"/>
      <c r="L203" s="108">
        <v>6000</v>
      </c>
      <c r="M203" s="108">
        <v>4000</v>
      </c>
      <c r="N203" s="108">
        <v>2000</v>
      </c>
      <c r="O203" s="87">
        <v>30700</v>
      </c>
      <c r="P203" s="85"/>
      <c r="Q203" s="88"/>
      <c r="R203" s="85"/>
      <c r="S203" s="85"/>
      <c r="T203" s="85"/>
      <c r="U203" s="85"/>
      <c r="V203" s="85"/>
    </row>
    <row r="204" spans="1:22" s="84" customFormat="1" ht="15" customHeight="1">
      <c r="A204" s="72"/>
      <c r="B204" s="72"/>
      <c r="C204" s="76" t="s">
        <v>231</v>
      </c>
      <c r="D204" s="73"/>
      <c r="E204" s="73"/>
      <c r="F204" s="73"/>
      <c r="G204" s="125"/>
      <c r="H204" s="125"/>
      <c r="I204" s="125"/>
      <c r="J204" s="125"/>
      <c r="K204" s="34"/>
      <c r="L204" s="121"/>
      <c r="M204" s="98"/>
      <c r="N204" s="98"/>
      <c r="O204" s="87"/>
      <c r="Q204" s="87"/>
    </row>
    <row r="205" spans="1:22" s="86" customFormat="1" ht="25.5" customHeight="1">
      <c r="A205" s="1"/>
      <c r="B205" s="32"/>
      <c r="C205" s="32"/>
      <c r="D205" s="30"/>
      <c r="E205" s="144" t="s">
        <v>280</v>
      </c>
      <c r="F205" s="144"/>
      <c r="G205" s="16"/>
      <c r="H205" s="16"/>
      <c r="I205" s="16"/>
      <c r="J205" s="16"/>
      <c r="K205" s="16"/>
      <c r="L205" s="110">
        <v>3000</v>
      </c>
      <c r="M205" s="102">
        <v>3000</v>
      </c>
      <c r="N205" s="102">
        <f>3000+4000+7000</f>
        <v>14000</v>
      </c>
      <c r="O205" s="87">
        <f>+P205+Q205</f>
        <v>35240</v>
      </c>
      <c r="P205" s="102">
        <v>25240</v>
      </c>
      <c r="Q205" s="88">
        <v>10000</v>
      </c>
      <c r="R205" s="85"/>
      <c r="S205" s="85"/>
      <c r="T205" s="85"/>
      <c r="U205" s="85"/>
      <c r="V205" s="85"/>
    </row>
    <row r="206" spans="1:22" s="86" customFormat="1" ht="15.75" customHeight="1" thickBot="1">
      <c r="A206" s="1"/>
      <c r="B206" s="32"/>
      <c r="C206" s="32"/>
      <c r="D206" s="30"/>
      <c r="E206" s="144" t="s">
        <v>250</v>
      </c>
      <c r="F206" s="144"/>
      <c r="G206" s="16"/>
      <c r="H206" s="16"/>
      <c r="I206" s="16"/>
      <c r="J206" s="16"/>
      <c r="K206" s="16"/>
      <c r="L206" s="110">
        <v>0</v>
      </c>
      <c r="M206" s="121">
        <v>500</v>
      </c>
      <c r="N206" s="121">
        <v>3000</v>
      </c>
      <c r="O206" s="89">
        <v>500</v>
      </c>
      <c r="P206" s="85"/>
      <c r="Q206" s="88"/>
      <c r="R206" s="85"/>
      <c r="S206" s="85"/>
      <c r="T206" s="85"/>
      <c r="U206" s="85"/>
      <c r="V206" s="85"/>
    </row>
    <row r="207" spans="1:22" s="86" customFormat="1" ht="14.25" customHeight="1" thickBot="1">
      <c r="A207" s="1"/>
      <c r="B207" s="32"/>
      <c r="C207" s="32"/>
      <c r="D207" s="32" t="s">
        <v>232</v>
      </c>
      <c r="E207" s="32"/>
      <c r="F207" s="32"/>
      <c r="G207" s="74"/>
      <c r="H207" s="74"/>
      <c r="I207" s="74"/>
      <c r="J207" s="74"/>
      <c r="K207" s="74"/>
      <c r="L207" s="113">
        <f>SUM(L205:L206)</f>
        <v>3000</v>
      </c>
      <c r="M207" s="113">
        <f>SUM(M205:M206)</f>
        <v>3500</v>
      </c>
      <c r="N207" s="113">
        <f>SUM(N205:N206)</f>
        <v>17000</v>
      </c>
      <c r="O207" s="91">
        <f>SUM(O205:O206)</f>
        <v>35740</v>
      </c>
      <c r="P207" s="85"/>
      <c r="Q207" s="85"/>
      <c r="R207" s="85"/>
      <c r="S207" s="85"/>
      <c r="T207" s="85"/>
      <c r="U207" s="85"/>
      <c r="V207" s="85"/>
    </row>
    <row r="208" spans="1:22" s="86" customFormat="1" ht="18.75" customHeight="1" thickBot="1">
      <c r="A208" s="1"/>
      <c r="B208" s="32" t="s">
        <v>233</v>
      </c>
      <c r="C208" s="32"/>
      <c r="D208" s="32"/>
      <c r="E208" s="32"/>
      <c r="F208" s="32"/>
      <c r="G208" s="16"/>
      <c r="H208" s="16"/>
      <c r="I208" s="16"/>
      <c r="J208" s="16"/>
      <c r="K208" s="16"/>
      <c r="L208" s="113">
        <f>+L207+L203+L201+L196+L190</f>
        <v>105000</v>
      </c>
      <c r="M208" s="113">
        <f>+M207+M203+M201+M196+M190</f>
        <v>106500</v>
      </c>
      <c r="N208" s="113">
        <f>+N207+N203+N201+N196+N190</f>
        <v>145000</v>
      </c>
      <c r="O208" s="92">
        <f>+O207+O203+O201+O196+O190</f>
        <v>287468</v>
      </c>
      <c r="P208" s="88">
        <f>+O208+R199</f>
        <v>287468</v>
      </c>
      <c r="Q208" s="85"/>
      <c r="R208" s="85"/>
      <c r="S208" s="85"/>
      <c r="T208" s="85"/>
      <c r="U208" s="85"/>
      <c r="V208" s="85"/>
    </row>
    <row r="209" spans="1:24" s="86" customFormat="1" ht="25.5" customHeight="1" thickBot="1">
      <c r="A209" s="1"/>
      <c r="B209" s="32" t="s">
        <v>235</v>
      </c>
      <c r="C209" s="32"/>
      <c r="D209" s="32"/>
      <c r="E209" s="32"/>
      <c r="F209" s="32"/>
      <c r="G209" s="16"/>
      <c r="H209" s="16"/>
      <c r="I209" s="16"/>
      <c r="J209" s="16"/>
      <c r="K209" s="16"/>
      <c r="L209" s="127">
        <f>+L208+L185</f>
        <v>975597.65</v>
      </c>
      <c r="M209" s="127">
        <f>+M208+M185</f>
        <v>927686</v>
      </c>
      <c r="N209" s="127">
        <f>+N208+N185</f>
        <v>909555.72</v>
      </c>
      <c r="O209" s="84"/>
      <c r="P209" s="85"/>
      <c r="Q209" s="85"/>
      <c r="R209" s="85"/>
      <c r="S209" s="85"/>
      <c r="T209" s="85"/>
      <c r="U209" s="85"/>
      <c r="V209" s="85"/>
    </row>
    <row r="210" spans="1:24" s="86" customFormat="1" ht="25.5" customHeight="1" thickTop="1">
      <c r="A210" s="1"/>
      <c r="B210" s="32"/>
      <c r="C210" s="32"/>
      <c r="D210" s="32"/>
      <c r="E210" s="32"/>
      <c r="F210" s="32"/>
      <c r="G210" s="16"/>
      <c r="H210" s="16"/>
      <c r="I210" s="16"/>
      <c r="J210" s="16"/>
      <c r="K210" s="16"/>
      <c r="L210" s="110"/>
      <c r="M210" s="102"/>
      <c r="N210" s="102"/>
      <c r="O210" s="84"/>
      <c r="P210" s="85"/>
      <c r="Q210" s="85"/>
      <c r="R210" s="85"/>
      <c r="S210" s="85"/>
      <c r="T210" s="85"/>
      <c r="U210" s="85"/>
      <c r="V210" s="85"/>
    </row>
    <row r="211" spans="1:24" s="86" customFormat="1" ht="43.5" customHeight="1">
      <c r="A211" s="1"/>
      <c r="B211" s="32"/>
      <c r="C211" s="144" t="s">
        <v>283</v>
      </c>
      <c r="D211" s="144"/>
      <c r="E211" s="144"/>
      <c r="F211" s="144"/>
      <c r="G211" s="144"/>
      <c r="H211" s="144"/>
      <c r="I211" s="16"/>
      <c r="J211" s="88"/>
      <c r="K211" s="16"/>
      <c r="L211" s="16"/>
      <c r="M211" s="88"/>
      <c r="N211" s="85"/>
      <c r="O211" s="84"/>
      <c r="P211" s="85"/>
      <c r="Q211" s="85"/>
      <c r="R211" s="85"/>
      <c r="S211" s="85"/>
      <c r="T211" s="85"/>
      <c r="U211" s="85"/>
      <c r="V211" s="85"/>
    </row>
    <row r="212" spans="1:24" s="86" customFormat="1" ht="21.75" customHeight="1">
      <c r="A212" s="1"/>
      <c r="B212" s="32"/>
      <c r="C212" s="144" t="s">
        <v>183</v>
      </c>
      <c r="D212" s="144"/>
      <c r="E212" s="144"/>
      <c r="F212" s="144"/>
      <c r="G212" s="144"/>
      <c r="H212" s="144"/>
      <c r="I212" s="16"/>
      <c r="J212" s="88"/>
      <c r="K212" s="16"/>
      <c r="L212" s="16"/>
      <c r="M212" s="85"/>
      <c r="N212" s="85"/>
      <c r="O212" s="84"/>
      <c r="P212" s="85"/>
      <c r="Q212" s="85"/>
      <c r="R212" s="85"/>
      <c r="S212" s="85"/>
      <c r="T212" s="85"/>
      <c r="U212" s="85"/>
      <c r="V212" s="85"/>
    </row>
    <row r="213" spans="1:24" s="86" customFormat="1" ht="33.75" customHeight="1">
      <c r="A213" s="1"/>
      <c r="B213" s="32"/>
      <c r="C213" s="144" t="s">
        <v>275</v>
      </c>
      <c r="D213" s="144"/>
      <c r="E213" s="144"/>
      <c r="F213" s="144"/>
      <c r="G213" s="144"/>
      <c r="H213" s="144"/>
      <c r="I213" s="16"/>
      <c r="J213" s="88"/>
      <c r="K213" s="16"/>
      <c r="L213" s="16"/>
      <c r="M213" s="85"/>
      <c r="N213" s="85"/>
      <c r="O213" s="84"/>
      <c r="P213" s="85"/>
      <c r="Q213" s="85"/>
      <c r="R213" s="85"/>
      <c r="S213" s="85"/>
      <c r="T213" s="85"/>
      <c r="U213" s="85"/>
      <c r="V213" s="85"/>
    </row>
    <row r="214" spans="1:24" s="86" customFormat="1" ht="30.75" customHeight="1">
      <c r="A214" s="1"/>
      <c r="B214" s="32"/>
      <c r="C214" s="144" t="s">
        <v>240</v>
      </c>
      <c r="D214" s="144"/>
      <c r="E214" s="144"/>
      <c r="F214" s="144"/>
      <c r="G214" s="144"/>
      <c r="H214" s="144"/>
      <c r="I214" s="16"/>
      <c r="J214" s="88"/>
      <c r="K214" s="16"/>
      <c r="L214" s="16"/>
      <c r="M214" s="85"/>
      <c r="N214" s="85"/>
      <c r="O214" s="84"/>
      <c r="P214" s="85"/>
      <c r="Q214" s="85"/>
      <c r="R214" s="85"/>
      <c r="S214" s="85"/>
      <c r="T214" s="85"/>
      <c r="U214" s="85"/>
      <c r="V214" s="85"/>
    </row>
    <row r="215" spans="1:24" s="86" customFormat="1" ht="30" customHeight="1">
      <c r="A215" s="1"/>
      <c r="B215" s="32"/>
      <c r="C215" s="144" t="s">
        <v>241</v>
      </c>
      <c r="D215" s="144"/>
      <c r="E215" s="144"/>
      <c r="F215" s="144"/>
      <c r="G215" s="144"/>
      <c r="H215" s="144"/>
      <c r="I215" s="16"/>
      <c r="J215" s="16"/>
      <c r="K215" s="16"/>
      <c r="L215" s="16"/>
      <c r="M215" s="85"/>
      <c r="N215" s="85"/>
      <c r="O215" s="84"/>
      <c r="P215" s="85"/>
      <c r="Q215" s="85"/>
      <c r="R215" s="85"/>
      <c r="S215" s="85"/>
      <c r="T215" s="85"/>
      <c r="U215" s="85"/>
      <c r="V215" s="85"/>
    </row>
    <row r="216" spans="1:24" s="86" customFormat="1" ht="27.75" customHeight="1">
      <c r="A216" s="1"/>
      <c r="B216" s="32"/>
      <c r="C216" s="144" t="s">
        <v>246</v>
      </c>
      <c r="D216" s="144"/>
      <c r="E216" s="144"/>
      <c r="F216" s="144"/>
      <c r="G216" s="144"/>
      <c r="H216" s="144"/>
      <c r="I216" s="16"/>
      <c r="J216" s="16"/>
      <c r="K216" s="16"/>
      <c r="L216" s="16"/>
      <c r="M216" s="85"/>
      <c r="N216" s="85"/>
      <c r="O216" s="84"/>
      <c r="P216" s="85"/>
      <c r="Q216" s="85"/>
      <c r="R216" s="85"/>
      <c r="S216" s="85"/>
      <c r="T216" s="85"/>
      <c r="U216" s="85"/>
      <c r="V216" s="85"/>
    </row>
    <row r="217" spans="1:24" s="86" customFormat="1" ht="30.75" customHeight="1">
      <c r="A217" s="1"/>
      <c r="B217" s="32"/>
      <c r="C217" s="144" t="s">
        <v>282</v>
      </c>
      <c r="D217" s="144"/>
      <c r="E217" s="144"/>
      <c r="F217" s="144"/>
      <c r="G217" s="144"/>
      <c r="H217" s="144"/>
      <c r="I217" s="16"/>
      <c r="J217" s="16"/>
      <c r="K217" s="16"/>
      <c r="L217" s="16"/>
      <c r="M217" s="85"/>
      <c r="N217" s="85"/>
      <c r="O217" s="84"/>
      <c r="P217" s="85"/>
      <c r="Q217" s="85"/>
      <c r="R217" s="85"/>
      <c r="S217" s="85"/>
      <c r="T217" s="85"/>
      <c r="U217" s="85"/>
      <c r="V217" s="85"/>
    </row>
    <row r="218" spans="1:24" s="86" customFormat="1" ht="27.75" customHeight="1">
      <c r="A218" s="1"/>
      <c r="B218" s="32"/>
      <c r="C218" s="144" t="s">
        <v>281</v>
      </c>
      <c r="D218" s="144"/>
      <c r="E218" s="144"/>
      <c r="F218" s="144"/>
      <c r="G218" s="144"/>
      <c r="H218" s="144"/>
      <c r="I218" s="16"/>
      <c r="J218" s="16"/>
      <c r="K218" s="16"/>
      <c r="L218" s="16"/>
      <c r="M218" s="85"/>
      <c r="N218" s="85"/>
      <c r="O218" s="84"/>
      <c r="P218" s="85"/>
      <c r="Q218" s="85"/>
      <c r="R218" s="85"/>
      <c r="S218" s="85"/>
      <c r="T218" s="85"/>
      <c r="U218" s="85"/>
      <c r="V218" s="85"/>
    </row>
    <row r="219" spans="1:24">
      <c r="B219" s="42"/>
      <c r="C219" s="48"/>
      <c r="D219" s="48"/>
      <c r="E219" s="48"/>
      <c r="F219" s="48"/>
      <c r="G219" s="12"/>
      <c r="H219" s="12"/>
      <c r="L219" s="41"/>
      <c r="M219" s="36"/>
      <c r="N219" s="29"/>
      <c r="O219" s="36"/>
    </row>
    <row r="220" spans="1:24" ht="33" customHeight="1">
      <c r="A220" s="1"/>
      <c r="B220" s="148" t="s">
        <v>197</v>
      </c>
      <c r="C220" s="149"/>
      <c r="D220" s="149"/>
      <c r="E220" s="149"/>
      <c r="F220" s="149"/>
      <c r="G220" s="12"/>
      <c r="H220" s="12"/>
      <c r="I220" s="30"/>
      <c r="J220" s="30"/>
      <c r="K220" s="31"/>
      <c r="L220" s="81" t="s">
        <v>262</v>
      </c>
      <c r="M220" s="82"/>
      <c r="N220" s="82"/>
      <c r="O220" s="36"/>
      <c r="P220" s="17"/>
      <c r="Q220" s="17"/>
      <c r="R220" s="17"/>
      <c r="S220" s="17"/>
      <c r="T220" s="17"/>
      <c r="U220" s="17"/>
      <c r="V220" s="17"/>
      <c r="W220" s="17"/>
      <c r="X220" s="17"/>
    </row>
    <row r="221" spans="1:24" s="17" customFormat="1">
      <c r="A221" s="1"/>
      <c r="B221" s="1"/>
      <c r="C221" s="1"/>
      <c r="D221" s="1"/>
      <c r="E221" s="1"/>
      <c r="F221" s="1"/>
      <c r="G221" s="12"/>
      <c r="H221" s="12"/>
      <c r="I221" s="30"/>
      <c r="J221" s="30"/>
      <c r="K221" s="31"/>
      <c r="L221" s="45" t="s">
        <v>184</v>
      </c>
      <c r="M221" s="45" t="s">
        <v>185</v>
      </c>
      <c r="N221" s="69" t="s">
        <v>205</v>
      </c>
      <c r="O221" s="63"/>
    </row>
    <row r="222" spans="1:24" s="17" customFormat="1" ht="15">
      <c r="A222" s="1"/>
      <c r="B222" s="1"/>
      <c r="C222" s="1"/>
      <c r="D222" s="1"/>
      <c r="E222" s="1"/>
      <c r="F222" s="24" t="s">
        <v>214</v>
      </c>
      <c r="G222" s="9"/>
      <c r="H222" s="9"/>
      <c r="I222" s="30"/>
      <c r="J222" s="30"/>
      <c r="K222" s="31"/>
      <c r="L222" s="55">
        <v>395</v>
      </c>
      <c r="M222" s="17">
        <v>399</v>
      </c>
      <c r="N222" s="29">
        <v>397</v>
      </c>
      <c r="O222" s="36"/>
    </row>
    <row r="223" spans="1:24" s="17" customFormat="1" ht="15">
      <c r="A223" s="1"/>
      <c r="B223" s="1"/>
      <c r="C223" s="1"/>
      <c r="D223" s="1"/>
      <c r="E223" s="1"/>
      <c r="F223" s="24" t="s">
        <v>220</v>
      </c>
      <c r="G223" s="9"/>
      <c r="H223" s="9"/>
      <c r="I223" s="33"/>
      <c r="J223" s="33"/>
      <c r="K223" s="16"/>
      <c r="L223" s="10">
        <v>390</v>
      </c>
      <c r="M223" s="17">
        <v>394</v>
      </c>
      <c r="N223" s="29">
        <v>390</v>
      </c>
      <c r="O223" s="36"/>
    </row>
    <row r="224" spans="1:24" s="17" customFormat="1">
      <c r="A224" s="1"/>
      <c r="B224" s="1"/>
      <c r="C224" s="1"/>
      <c r="D224" s="1"/>
      <c r="E224" s="1"/>
      <c r="F224" s="25" t="s">
        <v>215</v>
      </c>
      <c r="G224" s="9"/>
      <c r="H224" s="9"/>
      <c r="I224" s="33"/>
      <c r="J224" s="33"/>
      <c r="K224" s="16"/>
      <c r="L224" s="44">
        <v>156</v>
      </c>
      <c r="M224" s="138">
        <f>(M269)/M223</f>
        <v>155.5228426395939</v>
      </c>
      <c r="N224" s="138">
        <f>(N269-(N268))/N223</f>
        <v>154.48717948717947</v>
      </c>
      <c r="O224" s="64"/>
    </row>
    <row r="225" spans="1:24" s="17" customFormat="1">
      <c r="A225" s="1"/>
      <c r="B225" s="1"/>
      <c r="C225" s="1"/>
      <c r="D225" s="1"/>
      <c r="E225" s="1"/>
      <c r="F225" s="27" t="s">
        <v>216</v>
      </c>
      <c r="G225" s="9"/>
      <c r="H225" s="9"/>
      <c r="I225" s="33"/>
      <c r="J225" s="33"/>
      <c r="K225" s="16"/>
      <c r="L225" s="44">
        <v>84</v>
      </c>
      <c r="M225" s="138">
        <v>83.76</v>
      </c>
      <c r="N225" s="138">
        <f>+N239/N223</f>
        <v>97.564102564102569</v>
      </c>
      <c r="O225" s="64"/>
    </row>
    <row r="226" spans="1:24" s="17" customFormat="1">
      <c r="A226" s="1"/>
      <c r="B226" s="9"/>
      <c r="C226" s="9"/>
      <c r="D226" s="9"/>
      <c r="E226" s="9"/>
      <c r="F226" s="28" t="s">
        <v>217</v>
      </c>
      <c r="G226" s="9"/>
      <c r="H226" s="9"/>
      <c r="I226" s="33"/>
      <c r="J226" s="33"/>
      <c r="K226" s="16"/>
      <c r="L226" s="56">
        <v>240</v>
      </c>
      <c r="M226" s="139">
        <f>SUM(M224:M225)+1</f>
        <v>240.28284263959392</v>
      </c>
      <c r="N226" s="139">
        <f>SUM(N224:N225)</f>
        <v>252.05128205128204</v>
      </c>
      <c r="O226" s="65"/>
    </row>
    <row r="227" spans="1:24" s="17" customFormat="1">
      <c r="A227" s="9"/>
      <c r="B227" s="9"/>
      <c r="C227" s="9"/>
      <c r="D227" s="9"/>
      <c r="E227" s="9"/>
      <c r="F227" s="25" t="s">
        <v>218</v>
      </c>
      <c r="G227" s="9"/>
      <c r="H227" s="9"/>
      <c r="I227" s="33"/>
      <c r="J227" s="33"/>
      <c r="K227" s="16"/>
      <c r="L227" s="47">
        <v>20</v>
      </c>
      <c r="M227" s="139">
        <v>20</v>
      </c>
      <c r="N227" s="139">
        <f>N226/12</f>
        <v>21.004273504273502</v>
      </c>
      <c r="O227" s="62"/>
    </row>
    <row r="228" spans="1:24" s="17" customFormat="1">
      <c r="A228" s="9"/>
      <c r="B228" s="9"/>
      <c r="C228" s="9"/>
      <c r="D228" s="9"/>
      <c r="E228" s="9"/>
      <c r="F228" s="25" t="s">
        <v>219</v>
      </c>
      <c r="G228" s="9"/>
      <c r="H228" s="9"/>
      <c r="I228" s="33"/>
      <c r="J228" s="33"/>
      <c r="K228" s="16"/>
      <c r="L228" s="46">
        <f>+L226*L223</f>
        <v>93600</v>
      </c>
      <c r="M228" s="46">
        <f>+M241</f>
        <v>94276</v>
      </c>
      <c r="N228" s="46">
        <f>+N241-N240</f>
        <v>98300</v>
      </c>
      <c r="O228" s="59"/>
    </row>
    <row r="229" spans="1:24" s="17" customFormat="1">
      <c r="A229" s="9"/>
      <c r="B229" s="9"/>
      <c r="C229" s="9"/>
      <c r="D229" s="9"/>
      <c r="E229" s="9"/>
      <c r="F229" s="25"/>
      <c r="G229" s="30"/>
      <c r="H229" s="30"/>
      <c r="I229" s="35"/>
      <c r="J229" s="35"/>
      <c r="K229" s="34"/>
      <c r="L229" s="10"/>
      <c r="N229" s="36"/>
      <c r="O229" s="36"/>
      <c r="P229" s="37"/>
      <c r="Q229" s="37"/>
      <c r="R229" s="37"/>
      <c r="S229" s="37"/>
      <c r="T229" s="37"/>
      <c r="U229" s="37"/>
      <c r="V229" s="37"/>
      <c r="W229" s="37"/>
      <c r="X229" s="37"/>
    </row>
    <row r="230" spans="1:24" s="37" customFormat="1">
      <c r="A230" s="9" t="s">
        <v>90</v>
      </c>
      <c r="B230" s="1"/>
      <c r="C230" s="1"/>
      <c r="D230" s="1"/>
      <c r="E230" s="9"/>
      <c r="F230" s="9"/>
      <c r="G230" s="30"/>
      <c r="H230" s="30"/>
      <c r="I230" s="125"/>
      <c r="J230" s="125"/>
      <c r="K230" s="34"/>
      <c r="L230" s="128"/>
      <c r="M230" s="88"/>
      <c r="N230" s="87"/>
      <c r="O230" s="36"/>
    </row>
    <row r="231" spans="1:24" s="37" customFormat="1">
      <c r="A231" s="1" t="s">
        <v>1</v>
      </c>
      <c r="B231" s="1"/>
      <c r="C231" s="1"/>
      <c r="D231" s="1"/>
      <c r="E231" s="9"/>
      <c r="F231" s="9"/>
      <c r="G231" s="115"/>
      <c r="H231" s="115"/>
      <c r="I231" s="125"/>
      <c r="J231" s="125"/>
      <c r="K231" s="34"/>
      <c r="L231" s="128"/>
      <c r="M231" s="88"/>
      <c r="N231" s="87"/>
      <c r="O231" s="36"/>
    </row>
    <row r="232" spans="1:24" s="37" customFormat="1">
      <c r="A232" s="1"/>
      <c r="B232" s="1"/>
      <c r="C232" s="1" t="s">
        <v>209</v>
      </c>
      <c r="D232" s="1"/>
      <c r="E232" s="9"/>
      <c r="F232" s="9"/>
      <c r="G232" s="115"/>
      <c r="H232" s="115"/>
      <c r="I232" s="34"/>
      <c r="J232" s="34"/>
      <c r="K232" s="34"/>
      <c r="L232" s="97">
        <v>61200</v>
      </c>
      <c r="M232" s="102">
        <v>61276</v>
      </c>
      <c r="N232" s="98">
        <v>60250</v>
      </c>
      <c r="O232" s="59"/>
    </row>
    <row r="233" spans="1:24" s="37" customFormat="1" ht="25.5" hidden="1" customHeight="1">
      <c r="A233" s="1"/>
      <c r="B233" s="1"/>
      <c r="C233" s="1" t="s">
        <v>123</v>
      </c>
      <c r="D233" s="1"/>
      <c r="E233" s="9"/>
      <c r="F233" s="9"/>
      <c r="G233" s="115"/>
      <c r="H233" s="115"/>
      <c r="I233" s="125"/>
      <c r="J233" s="125"/>
      <c r="K233" s="34"/>
      <c r="L233" s="97">
        <v>7620</v>
      </c>
      <c r="M233" s="102">
        <v>0</v>
      </c>
      <c r="N233" s="98">
        <v>0</v>
      </c>
      <c r="O233" s="59"/>
    </row>
    <row r="234" spans="1:24" s="37" customFormat="1" hidden="1">
      <c r="A234" s="1"/>
      <c r="B234" s="1"/>
      <c r="C234" s="1" t="s">
        <v>124</v>
      </c>
      <c r="D234" s="1"/>
      <c r="E234" s="9"/>
      <c r="F234" s="9"/>
      <c r="G234" s="115"/>
      <c r="H234" s="115"/>
      <c r="I234" s="125"/>
      <c r="J234" s="125"/>
      <c r="K234" s="34"/>
      <c r="L234" s="97">
        <v>235.5</v>
      </c>
      <c r="M234" s="102">
        <v>0</v>
      </c>
      <c r="N234" s="98">
        <v>0</v>
      </c>
      <c r="O234" s="59"/>
    </row>
    <row r="235" spans="1:24" s="37" customFormat="1" hidden="1">
      <c r="A235" s="1"/>
      <c r="B235" s="1"/>
      <c r="C235" s="1" t="s">
        <v>125</v>
      </c>
      <c r="D235" s="1"/>
      <c r="E235" s="9"/>
      <c r="F235" s="9"/>
      <c r="G235" s="115"/>
      <c r="H235" s="115"/>
      <c r="I235" s="125"/>
      <c r="J235" s="125"/>
      <c r="K235" s="34"/>
      <c r="L235" s="104">
        <v>140</v>
      </c>
      <c r="M235" s="102">
        <v>0</v>
      </c>
      <c r="N235" s="98">
        <v>0</v>
      </c>
      <c r="O235" s="59"/>
    </row>
    <row r="236" spans="1:24" s="37" customFormat="1" hidden="1">
      <c r="A236" s="1"/>
      <c r="B236" s="1"/>
      <c r="C236" s="1" t="s">
        <v>18</v>
      </c>
      <c r="D236" s="1"/>
      <c r="E236" s="9"/>
      <c r="F236" s="9"/>
      <c r="G236" s="115"/>
      <c r="H236" s="115"/>
      <c r="I236" s="125"/>
      <c r="J236" s="125"/>
      <c r="K236" s="34"/>
      <c r="L236" s="104">
        <v>0</v>
      </c>
      <c r="M236" s="102">
        <v>0</v>
      </c>
      <c r="N236" s="98">
        <v>0</v>
      </c>
      <c r="O236" s="59"/>
    </row>
    <row r="237" spans="1:24" s="37" customFormat="1" hidden="1">
      <c r="A237" s="1"/>
      <c r="B237" s="1"/>
      <c r="C237" s="1" t="s">
        <v>204</v>
      </c>
      <c r="D237" s="1"/>
      <c r="E237" s="9"/>
      <c r="F237" s="9"/>
      <c r="G237" s="115"/>
      <c r="H237" s="115"/>
      <c r="I237" s="125"/>
      <c r="J237" s="125"/>
      <c r="K237" s="34"/>
      <c r="L237" s="104">
        <v>100</v>
      </c>
      <c r="M237" s="102">
        <v>0</v>
      </c>
      <c r="N237" s="98">
        <v>0</v>
      </c>
      <c r="O237" s="59"/>
    </row>
    <row r="238" spans="1:24" s="37" customFormat="1" hidden="1">
      <c r="A238" s="1"/>
      <c r="B238" s="1"/>
      <c r="C238" s="1" t="s">
        <v>181</v>
      </c>
      <c r="D238" s="1"/>
      <c r="E238" s="9"/>
      <c r="F238" s="9"/>
      <c r="G238" s="125"/>
      <c r="H238" s="125"/>
      <c r="I238" s="34"/>
      <c r="J238" s="34"/>
      <c r="K238" s="34"/>
      <c r="L238" s="104">
        <v>0</v>
      </c>
      <c r="M238" s="102">
        <v>0</v>
      </c>
      <c r="N238" s="98">
        <v>0</v>
      </c>
      <c r="O238" s="59"/>
    </row>
    <row r="239" spans="1:24" s="37" customFormat="1" ht="25.5" customHeight="1">
      <c r="A239" s="1"/>
      <c r="B239" s="1"/>
      <c r="C239" s="146" t="s">
        <v>261</v>
      </c>
      <c r="D239" s="146"/>
      <c r="E239" s="146"/>
      <c r="F239" s="146"/>
      <c r="G239" s="125"/>
      <c r="H239" s="125"/>
      <c r="I239" s="125"/>
      <c r="J239" s="125"/>
      <c r="K239" s="34"/>
      <c r="L239" s="104">
        <v>32400</v>
      </c>
      <c r="M239" s="98">
        <v>33000</v>
      </c>
      <c r="N239" s="98">
        <v>38050</v>
      </c>
      <c r="O239" s="59"/>
    </row>
    <row r="240" spans="1:24" s="37" customFormat="1" ht="12.75" customHeight="1" thickBot="1">
      <c r="A240" s="1"/>
      <c r="B240" s="1" t="s">
        <v>213</v>
      </c>
      <c r="C240" s="1"/>
      <c r="D240" s="1"/>
      <c r="E240" s="9"/>
      <c r="F240" s="9"/>
      <c r="G240" s="125"/>
      <c r="H240" s="125"/>
      <c r="I240" s="125"/>
      <c r="J240" s="125"/>
      <c r="K240" s="34"/>
      <c r="L240" s="106">
        <v>0</v>
      </c>
      <c r="M240" s="116">
        <v>0</v>
      </c>
      <c r="N240" s="116">
        <v>53278</v>
      </c>
      <c r="O240" s="59"/>
    </row>
    <row r="241" spans="1:24" s="37" customFormat="1" ht="13.5" thickBot="1">
      <c r="A241" s="9"/>
      <c r="B241" s="1" t="s">
        <v>20</v>
      </c>
      <c r="C241" s="1"/>
      <c r="D241" s="1"/>
      <c r="E241" s="9"/>
      <c r="F241" s="9"/>
      <c r="G241" s="125"/>
      <c r="H241" s="125"/>
      <c r="I241" s="125"/>
      <c r="J241" s="125"/>
      <c r="K241" s="34"/>
      <c r="L241" s="134">
        <f>SUM(L232:L240)</f>
        <v>101695.5</v>
      </c>
      <c r="M241" s="134">
        <f>SUM(M232:M240)</f>
        <v>94276</v>
      </c>
      <c r="N241" s="134">
        <f>SUM(N232:N240)</f>
        <v>151578</v>
      </c>
      <c r="O241" s="59"/>
    </row>
    <row r="242" spans="1:24" s="37" customFormat="1" ht="13.5" thickTop="1">
      <c r="A242" s="1"/>
      <c r="B242" s="1"/>
      <c r="C242" s="1"/>
      <c r="D242" s="1"/>
      <c r="E242" s="9"/>
      <c r="F242" s="9"/>
      <c r="G242" s="34"/>
      <c r="H242" s="34"/>
      <c r="I242" s="34"/>
      <c r="J242" s="34"/>
      <c r="K242" s="34"/>
      <c r="L242" s="104"/>
      <c r="M242" s="102"/>
      <c r="N242" s="98"/>
      <c r="O242" s="59"/>
    </row>
    <row r="243" spans="1:24" s="37" customFormat="1" ht="18" customHeight="1">
      <c r="A243" s="1"/>
      <c r="B243" s="1"/>
      <c r="C243" s="1"/>
      <c r="D243" s="1"/>
      <c r="E243" s="1"/>
      <c r="F243" s="1"/>
      <c r="G243" s="125"/>
      <c r="H243" s="125"/>
      <c r="I243" s="38"/>
      <c r="J243" s="38"/>
      <c r="K243" s="129"/>
      <c r="L243" s="104"/>
      <c r="M243" s="102"/>
      <c r="N243" s="98"/>
      <c r="O243" s="59"/>
    </row>
    <row r="244" spans="1:24" s="37" customFormat="1">
      <c r="A244" s="1"/>
      <c r="B244" s="1" t="s">
        <v>21</v>
      </c>
      <c r="C244" s="1"/>
      <c r="D244" s="1"/>
      <c r="E244" s="9"/>
      <c r="F244" s="9"/>
      <c r="G244" s="125"/>
      <c r="H244" s="125"/>
      <c r="I244" s="38"/>
      <c r="J244" s="38"/>
      <c r="K244" s="129"/>
      <c r="L244" s="104"/>
      <c r="M244" s="102"/>
      <c r="N244" s="98"/>
      <c r="O244" s="59"/>
    </row>
    <row r="245" spans="1:24" s="37" customFormat="1">
      <c r="A245" s="1"/>
      <c r="B245" s="1"/>
      <c r="C245" s="1" t="s">
        <v>126</v>
      </c>
      <c r="D245" s="1"/>
      <c r="E245" s="9"/>
      <c r="F245" s="9"/>
      <c r="G245" s="125"/>
      <c r="H245" s="125"/>
      <c r="I245" s="39"/>
      <c r="J245" s="39"/>
      <c r="K245" s="130"/>
      <c r="L245" s="104">
        <v>485</v>
      </c>
      <c r="M245" s="102">
        <v>1000</v>
      </c>
      <c r="N245" s="98">
        <v>1000</v>
      </c>
      <c r="O245" s="59"/>
      <c r="P245" s="20"/>
      <c r="Q245" s="20"/>
      <c r="R245" s="20"/>
      <c r="S245" s="20"/>
      <c r="T245" s="20"/>
      <c r="U245" s="20"/>
      <c r="V245" s="20"/>
      <c r="W245" s="20"/>
      <c r="X245" s="20"/>
    </row>
    <row r="246" spans="1:24" s="20" customFormat="1">
      <c r="A246" s="1"/>
      <c r="B246" s="1"/>
      <c r="C246" s="1" t="s">
        <v>127</v>
      </c>
      <c r="D246" s="1"/>
      <c r="E246" s="9"/>
      <c r="F246" s="9"/>
      <c r="G246" s="125"/>
      <c r="H246" s="125"/>
      <c r="I246" s="39"/>
      <c r="J246" s="39"/>
      <c r="K246" s="130"/>
      <c r="L246" s="104">
        <v>270</v>
      </c>
      <c r="M246" s="102">
        <v>200</v>
      </c>
      <c r="N246" s="98">
        <v>200</v>
      </c>
      <c r="O246" s="59"/>
    </row>
    <row r="247" spans="1:24" s="20" customFormat="1">
      <c r="A247" s="1"/>
      <c r="B247" s="1"/>
      <c r="C247" s="1" t="s">
        <v>276</v>
      </c>
      <c r="D247" s="1"/>
      <c r="E247" s="9"/>
      <c r="F247" s="9"/>
      <c r="G247" s="34"/>
      <c r="H247" s="34"/>
      <c r="I247" s="39"/>
      <c r="J247" s="39"/>
      <c r="K247" s="130"/>
      <c r="L247" s="104">
        <v>32</v>
      </c>
      <c r="M247" s="102">
        <v>50</v>
      </c>
      <c r="N247" s="98">
        <v>50</v>
      </c>
      <c r="O247" s="59"/>
    </row>
    <row r="248" spans="1:24" s="20" customFormat="1">
      <c r="A248" s="1"/>
      <c r="B248" s="1"/>
      <c r="C248" s="32" t="s">
        <v>272</v>
      </c>
      <c r="D248" s="32"/>
      <c r="E248" s="30"/>
      <c r="F248" s="30"/>
      <c r="G248" s="125"/>
      <c r="H248" s="125"/>
      <c r="I248" s="39"/>
      <c r="J248" s="39"/>
      <c r="K248" s="130"/>
      <c r="L248" s="104">
        <v>9541.1299999999992</v>
      </c>
      <c r="M248" s="102">
        <v>15000</v>
      </c>
      <c r="N248" s="98">
        <v>12000</v>
      </c>
      <c r="O248" s="59"/>
    </row>
    <row r="249" spans="1:24" s="20" customFormat="1">
      <c r="A249" s="1"/>
      <c r="B249" s="1"/>
      <c r="C249" s="1" t="s">
        <v>31</v>
      </c>
      <c r="D249" s="1"/>
      <c r="E249" s="9"/>
      <c r="F249" s="9"/>
      <c r="G249" s="125"/>
      <c r="H249" s="125"/>
      <c r="I249" s="9"/>
      <c r="J249" s="9"/>
      <c r="K249" s="128"/>
      <c r="L249" s="104">
        <v>0</v>
      </c>
      <c r="M249" s="102">
        <v>1800</v>
      </c>
      <c r="N249" s="102">
        <v>1800</v>
      </c>
      <c r="O249" s="59"/>
      <c r="P249"/>
      <c r="Q249"/>
      <c r="R249"/>
      <c r="S249"/>
      <c r="T249"/>
      <c r="U249"/>
      <c r="V249"/>
      <c r="W249"/>
      <c r="X249"/>
    </row>
    <row r="250" spans="1:24">
      <c r="A250" s="1"/>
      <c r="B250" s="1"/>
      <c r="C250" s="1" t="s">
        <v>128</v>
      </c>
      <c r="D250" s="1"/>
      <c r="G250" s="125"/>
      <c r="H250" s="125"/>
      <c r="K250" s="128"/>
      <c r="L250" s="104">
        <v>2616.5</v>
      </c>
      <c r="M250" s="102">
        <v>1700</v>
      </c>
      <c r="N250" s="102">
        <v>1500</v>
      </c>
      <c r="O250" s="59"/>
    </row>
    <row r="251" spans="1:24">
      <c r="A251" s="1"/>
      <c r="B251" s="1"/>
      <c r="C251" s="1" t="s">
        <v>129</v>
      </c>
      <c r="D251" s="1"/>
      <c r="G251" s="34"/>
      <c r="H251" s="34"/>
      <c r="K251" s="128"/>
      <c r="L251" s="104">
        <v>0</v>
      </c>
      <c r="M251" s="102">
        <v>1000</v>
      </c>
      <c r="N251" s="102">
        <v>1500</v>
      </c>
      <c r="O251" s="59"/>
    </row>
    <row r="252" spans="1:24">
      <c r="A252" s="1"/>
      <c r="B252" s="1"/>
      <c r="C252" s="1" t="s">
        <v>130</v>
      </c>
      <c r="D252" s="1"/>
      <c r="G252" s="38"/>
      <c r="H252" s="38"/>
      <c r="K252" s="128"/>
      <c r="L252" s="104">
        <v>183</v>
      </c>
      <c r="M252" s="102">
        <v>200</v>
      </c>
      <c r="N252" s="102">
        <v>200</v>
      </c>
      <c r="O252" s="59"/>
    </row>
    <row r="253" spans="1:24">
      <c r="A253" s="1"/>
      <c r="B253" s="1"/>
      <c r="C253" s="1" t="s">
        <v>131</v>
      </c>
      <c r="D253" s="1"/>
      <c r="G253" s="38"/>
      <c r="H253" s="38"/>
      <c r="K253" s="128"/>
      <c r="L253" s="104">
        <v>273.44</v>
      </c>
      <c r="M253" s="102">
        <v>100</v>
      </c>
      <c r="N253" s="102">
        <v>400</v>
      </c>
      <c r="O253" s="59"/>
    </row>
    <row r="254" spans="1:24">
      <c r="A254" s="1"/>
      <c r="B254" s="1"/>
      <c r="C254" s="1" t="s">
        <v>132</v>
      </c>
      <c r="D254" s="1"/>
      <c r="G254" s="39"/>
      <c r="H254" s="39"/>
      <c r="K254" s="128"/>
      <c r="L254" s="104"/>
      <c r="M254" s="102"/>
      <c r="N254" s="102"/>
      <c r="O254" s="59"/>
    </row>
    <row r="255" spans="1:24">
      <c r="A255" s="1"/>
      <c r="B255" s="1"/>
      <c r="C255" s="1"/>
      <c r="D255" s="1" t="s">
        <v>92</v>
      </c>
      <c r="G255" s="39"/>
      <c r="H255" s="39"/>
      <c r="K255" s="128"/>
      <c r="L255" s="104">
        <v>576.52</v>
      </c>
      <c r="M255" s="102">
        <v>1000</v>
      </c>
      <c r="N255" s="102">
        <v>2100</v>
      </c>
      <c r="O255" s="59"/>
    </row>
    <row r="256" spans="1:24">
      <c r="A256" s="1"/>
      <c r="B256" s="1"/>
      <c r="C256" s="1"/>
      <c r="D256" s="1" t="s">
        <v>12</v>
      </c>
      <c r="G256" s="39"/>
      <c r="H256" s="39"/>
      <c r="K256" s="128"/>
      <c r="L256" s="104">
        <v>1327.9</v>
      </c>
      <c r="M256" s="102">
        <v>400</v>
      </c>
      <c r="N256" s="102">
        <v>500</v>
      </c>
      <c r="O256" s="59"/>
    </row>
    <row r="257" spans="1:15">
      <c r="A257" s="1"/>
      <c r="B257" s="1"/>
      <c r="C257" s="1"/>
      <c r="D257" s="1" t="s">
        <v>133</v>
      </c>
      <c r="G257" s="39"/>
      <c r="H257" s="39"/>
      <c r="K257" s="128"/>
      <c r="L257" s="104">
        <v>3774.8</v>
      </c>
      <c r="M257" s="102">
        <v>1000</v>
      </c>
      <c r="N257" s="102">
        <v>500</v>
      </c>
      <c r="O257" s="59"/>
    </row>
    <row r="258" spans="1:15" ht="13.5" thickBot="1">
      <c r="A258" s="1"/>
      <c r="B258" s="1"/>
      <c r="C258" s="1"/>
      <c r="D258" s="1" t="s">
        <v>134</v>
      </c>
      <c r="E258" s="1"/>
      <c r="F258" s="1"/>
      <c r="K258" s="128"/>
      <c r="L258" s="105">
        <v>4837.28</v>
      </c>
      <c r="M258" s="116">
        <v>500</v>
      </c>
      <c r="N258" s="116">
        <v>500</v>
      </c>
      <c r="O258" s="59"/>
    </row>
    <row r="259" spans="1:15">
      <c r="A259" s="1"/>
      <c r="B259" s="1"/>
      <c r="C259" s="1" t="s">
        <v>135</v>
      </c>
      <c r="D259" s="1"/>
      <c r="E259" s="1"/>
      <c r="F259" s="1"/>
      <c r="K259" s="128"/>
      <c r="L259" s="131">
        <f>SUM(L255:L258)</f>
        <v>10516.5</v>
      </c>
      <c r="M259" s="109">
        <f>SUM(M255:M258)</f>
        <v>2900</v>
      </c>
      <c r="N259" s="109">
        <f>SUM(N255:N258)</f>
        <v>3600</v>
      </c>
      <c r="O259" s="36"/>
    </row>
    <row r="260" spans="1:15" hidden="1">
      <c r="A260" s="1"/>
      <c r="B260" s="1"/>
      <c r="C260" s="1" t="s">
        <v>44</v>
      </c>
      <c r="D260" s="1"/>
      <c r="E260" s="1"/>
      <c r="F260" s="1"/>
      <c r="K260" s="128"/>
      <c r="L260" s="104"/>
      <c r="M260" s="102">
        <v>0</v>
      </c>
      <c r="N260" s="102">
        <v>0</v>
      </c>
      <c r="O260" s="59"/>
    </row>
    <row r="261" spans="1:15">
      <c r="A261" s="1"/>
      <c r="B261" s="1"/>
      <c r="C261" s="1" t="s">
        <v>188</v>
      </c>
      <c r="D261" s="1"/>
      <c r="E261" s="1"/>
      <c r="F261" s="1"/>
      <c r="K261" s="128"/>
      <c r="L261" s="104">
        <v>10384.799999999999</v>
      </c>
      <c r="M261" s="102">
        <v>2000</v>
      </c>
      <c r="N261" s="102">
        <v>2000</v>
      </c>
      <c r="O261" s="59"/>
    </row>
    <row r="262" spans="1:15">
      <c r="A262" s="1"/>
      <c r="B262" s="1"/>
      <c r="C262" s="1" t="s">
        <v>189</v>
      </c>
      <c r="D262" s="1"/>
      <c r="E262" s="1"/>
      <c r="F262" s="1"/>
      <c r="K262" s="128"/>
      <c r="L262" s="104">
        <v>1117.4100000000001</v>
      </c>
      <c r="M262" s="102">
        <v>3000</v>
      </c>
      <c r="N262" s="102">
        <v>2000</v>
      </c>
      <c r="O262" s="59"/>
    </row>
    <row r="263" spans="1:15">
      <c r="A263" s="1"/>
      <c r="B263" s="1"/>
      <c r="C263" s="1" t="s">
        <v>60</v>
      </c>
      <c r="D263" s="1"/>
      <c r="E263" s="1"/>
      <c r="F263" s="1"/>
      <c r="K263" s="128"/>
      <c r="L263" s="104">
        <v>3500</v>
      </c>
      <c r="M263" s="102">
        <v>3000</v>
      </c>
      <c r="N263" s="102">
        <v>3000</v>
      </c>
      <c r="O263" s="59"/>
    </row>
    <row r="264" spans="1:15">
      <c r="A264" s="1"/>
      <c r="B264" s="1"/>
      <c r="C264" s="1" t="s">
        <v>182</v>
      </c>
      <c r="D264" s="1"/>
      <c r="E264" s="1"/>
      <c r="F264" s="1"/>
      <c r="K264" s="128"/>
      <c r="L264" s="104">
        <v>1483.94</v>
      </c>
      <c r="M264" s="102">
        <v>24400</v>
      </c>
      <c r="N264" s="102">
        <v>27800</v>
      </c>
      <c r="O264" s="59"/>
    </row>
    <row r="265" spans="1:15">
      <c r="A265" s="1"/>
      <c r="B265" s="1"/>
      <c r="C265" s="1" t="s">
        <v>137</v>
      </c>
      <c r="D265" s="1"/>
      <c r="E265" s="1"/>
      <c r="F265" s="1"/>
      <c r="K265" s="128"/>
      <c r="L265" s="104">
        <v>0</v>
      </c>
      <c r="M265" s="102">
        <v>2420</v>
      </c>
      <c r="N265" s="102">
        <v>2600</v>
      </c>
      <c r="O265" s="59"/>
    </row>
    <row r="266" spans="1:15">
      <c r="A266" s="1"/>
      <c r="B266" s="1"/>
      <c r="C266" s="1" t="s">
        <v>31</v>
      </c>
      <c r="D266" s="1"/>
      <c r="E266" s="1"/>
      <c r="F266" s="1"/>
      <c r="K266" s="128"/>
      <c r="L266" s="104"/>
      <c r="M266" s="102">
        <v>1980</v>
      </c>
      <c r="N266" s="102">
        <v>0</v>
      </c>
      <c r="O266" s="59"/>
    </row>
    <row r="267" spans="1:15">
      <c r="A267" s="1"/>
      <c r="B267" s="1"/>
      <c r="C267" s="1" t="s">
        <v>136</v>
      </c>
      <c r="D267" s="1"/>
      <c r="E267" s="1"/>
      <c r="F267" s="1"/>
      <c r="K267" s="128"/>
      <c r="L267" s="104">
        <v>0</v>
      </c>
      <c r="M267" s="102">
        <v>526</v>
      </c>
      <c r="N267" s="102">
        <v>600</v>
      </c>
      <c r="O267" s="59"/>
    </row>
    <row r="268" spans="1:15" ht="13.5" thickBot="1">
      <c r="B268" s="1"/>
      <c r="C268" s="1" t="s">
        <v>213</v>
      </c>
      <c r="D268" s="1"/>
      <c r="E268" s="1"/>
      <c r="F268" s="1"/>
      <c r="K268" s="128"/>
      <c r="L268" s="105"/>
      <c r="M268" s="116">
        <v>0</v>
      </c>
      <c r="N268" s="116">
        <v>53278</v>
      </c>
      <c r="O268" s="59"/>
    </row>
    <row r="269" spans="1:15">
      <c r="B269" s="1" t="s">
        <v>93</v>
      </c>
      <c r="C269" s="1"/>
      <c r="D269" s="1"/>
      <c r="E269" s="1"/>
      <c r="F269" s="1"/>
      <c r="K269" s="128"/>
      <c r="L269" s="109">
        <f>SUM(L245:L268)-L259</f>
        <v>40403.72</v>
      </c>
      <c r="M269" s="109">
        <f>SUM(M245:M268)-M259</f>
        <v>61276</v>
      </c>
      <c r="N269" s="109">
        <f>SUM(N245:N268)-N259</f>
        <v>113528</v>
      </c>
      <c r="O269" s="59"/>
    </row>
    <row r="270" spans="1:15" ht="25.5" customHeight="1" thickBot="1">
      <c r="B270" s="1"/>
      <c r="C270" s="146" t="s">
        <v>260</v>
      </c>
      <c r="D270" s="146"/>
      <c r="E270" s="146"/>
      <c r="F270" s="146"/>
      <c r="G270" s="30"/>
      <c r="H270" s="30"/>
      <c r="I270" s="30"/>
      <c r="J270" s="30"/>
      <c r="K270" s="133"/>
      <c r="L270" s="121">
        <v>32400</v>
      </c>
      <c r="M270" s="98">
        <v>33000</v>
      </c>
      <c r="N270" s="98">
        <f>+N239</f>
        <v>38050</v>
      </c>
      <c r="O270" s="59"/>
    </row>
    <row r="271" spans="1:15" ht="13.5" thickBot="1">
      <c r="B271" s="9" t="s">
        <v>259</v>
      </c>
      <c r="K271" s="128"/>
      <c r="L271" s="135">
        <f>+L269+L270</f>
        <v>72803.72</v>
      </c>
      <c r="M271" s="135">
        <f>+M269+M270</f>
        <v>94276</v>
      </c>
      <c r="N271" s="135">
        <f>+N269+N270</f>
        <v>151578</v>
      </c>
    </row>
    <row r="272" spans="1:15" ht="13.5" thickTop="1">
      <c r="K272" s="128"/>
      <c r="L272" s="132"/>
      <c r="M272" s="102"/>
      <c r="N272" s="102"/>
    </row>
    <row r="273" spans="11:14">
      <c r="K273" s="128"/>
      <c r="L273" s="132"/>
      <c r="M273" s="102"/>
      <c r="N273" s="102"/>
    </row>
    <row r="274" spans="11:14">
      <c r="K274" s="128"/>
      <c r="L274" s="128"/>
      <c r="M274" s="85"/>
      <c r="N274" s="85"/>
    </row>
    <row r="275" spans="11:14">
      <c r="K275" s="128"/>
      <c r="L275" s="128"/>
      <c r="M275" s="85"/>
      <c r="N275" s="85"/>
    </row>
    <row r="276" spans="11:14">
      <c r="K276" s="128"/>
      <c r="L276" s="128"/>
      <c r="M276" s="85"/>
      <c r="N276" s="85"/>
    </row>
  </sheetData>
  <mergeCells count="24">
    <mergeCell ref="C218:H218"/>
    <mergeCell ref="B220:F220"/>
    <mergeCell ref="C217:H217"/>
    <mergeCell ref="C215:H215"/>
    <mergeCell ref="E194:F194"/>
    <mergeCell ref="E198:F198"/>
    <mergeCell ref="C270:F270"/>
    <mergeCell ref="C239:F239"/>
    <mergeCell ref="C216:H216"/>
    <mergeCell ref="C213:H213"/>
    <mergeCell ref="E192:F192"/>
    <mergeCell ref="C214:H214"/>
    <mergeCell ref="E193:F193"/>
    <mergeCell ref="E203:F203"/>
    <mergeCell ref="E205:F205"/>
    <mergeCell ref="E206:F206"/>
    <mergeCell ref="C211:H211"/>
    <mergeCell ref="C212:H212"/>
    <mergeCell ref="E195:F195"/>
    <mergeCell ref="E199:F199"/>
    <mergeCell ref="E32:F32"/>
    <mergeCell ref="E188:F188"/>
    <mergeCell ref="E189:F189"/>
    <mergeCell ref="E200:F200"/>
  </mergeCells>
  <phoneticPr fontId="0" type="noConversion"/>
  <pageMargins left="0.79" right="0.7" top="1.1770833333333299" bottom="0.75" header="0.3" footer="0.3"/>
  <pageSetup fitToHeight="99" orientation="portrait" r:id="rId1"/>
  <headerFooter alignWithMargins="0">
    <oddHeader>&amp;L&amp;"Arial,Bold"&amp;8&amp;T
&amp;D&amp;C&amp;"Arial,Bold"&amp;12 HMC Management
&amp;14 Profit &amp;&amp; Loss Budget 
&amp;10 October 2013 through September 2014</oddHeader>
    <oddFooter>&amp;R&amp;"Arial,Bold"&amp;8 Page &amp;P of &amp;N</oddFooter>
  </headerFooter>
  <rowBreaks count="4" manualBreakCount="4">
    <brk id="159" max="16383" man="1"/>
    <brk id="185" max="16383" man="1"/>
    <brk id="210" max="16383" man="1"/>
    <brk id="21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4:Q7"/>
  <sheetViews>
    <sheetView workbookViewId="0">
      <selection activeCell="C13" sqref="C13"/>
    </sheetView>
  </sheetViews>
  <sheetFormatPr defaultRowHeight="12.75"/>
  <sheetData>
    <row r="4" spans="1:17" ht="40.5" customHeight="1">
      <c r="A4" s="1"/>
      <c r="B4" s="1"/>
      <c r="C4" s="150" t="s">
        <v>198</v>
      </c>
      <c r="D4" s="150"/>
      <c r="E4" s="150"/>
      <c r="F4" s="150"/>
      <c r="G4" s="150"/>
      <c r="H4" s="150"/>
      <c r="I4" s="16" t="s">
        <v>238</v>
      </c>
      <c r="J4" s="29"/>
      <c r="K4" s="16"/>
      <c r="L4" s="16"/>
      <c r="M4" s="17"/>
      <c r="N4" s="17"/>
      <c r="O4" s="37"/>
      <c r="P4" s="17"/>
      <c r="Q4" s="17"/>
    </row>
    <row r="5" spans="1:17" ht="31.5" customHeight="1">
      <c r="A5" s="1"/>
      <c r="B5" s="1"/>
      <c r="C5" s="150" t="s">
        <v>199</v>
      </c>
      <c r="D5" s="150"/>
      <c r="E5" s="150"/>
      <c r="F5" s="150"/>
      <c r="G5" s="150"/>
      <c r="H5" s="150"/>
      <c r="I5" s="16"/>
      <c r="J5" s="16"/>
      <c r="K5" s="16"/>
      <c r="L5" s="16"/>
      <c r="M5" s="17"/>
      <c r="N5" s="17"/>
      <c r="O5" s="37"/>
      <c r="P5" s="17"/>
      <c r="Q5" s="17"/>
    </row>
    <row r="6" spans="1:17" ht="24.75" customHeight="1">
      <c r="A6" s="1"/>
      <c r="B6" s="1"/>
      <c r="C6" s="150" t="s">
        <v>207</v>
      </c>
      <c r="D6" s="150"/>
      <c r="E6" s="150"/>
      <c r="F6" s="150"/>
      <c r="G6" s="150"/>
      <c r="H6" s="150"/>
      <c r="I6" s="16"/>
      <c r="J6" s="16"/>
      <c r="K6" s="16"/>
      <c r="L6" s="57"/>
      <c r="M6" s="57"/>
      <c r="N6" s="57"/>
      <c r="O6" s="57"/>
      <c r="P6" s="17"/>
      <c r="Q6" s="17"/>
    </row>
    <row r="7" spans="1:17" ht="23.25" customHeight="1">
      <c r="A7" s="1"/>
      <c r="B7" s="9"/>
      <c r="C7" s="66" t="s">
        <v>208</v>
      </c>
      <c r="D7" s="66"/>
      <c r="E7" s="66"/>
      <c r="F7" s="66"/>
      <c r="G7" s="68"/>
      <c r="H7" s="16"/>
      <c r="I7" s="12"/>
      <c r="J7" s="12"/>
      <c r="K7" s="10"/>
      <c r="L7" s="58"/>
      <c r="M7" s="58"/>
      <c r="N7" s="58"/>
      <c r="O7" s="62"/>
    </row>
  </sheetData>
  <mergeCells count="3">
    <mergeCell ref="C4:H4"/>
    <mergeCell ref="C5:H5"/>
    <mergeCell ref="C6:H6"/>
  </mergeCells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QuickBooks Export Tips</vt:lpstr>
      <vt:lpstr>Budget forcast</vt:lpstr>
      <vt:lpstr>Sheet2</vt:lpstr>
      <vt:lpstr>Sheet3</vt:lpstr>
      <vt:lpstr>Sheet5</vt:lpstr>
      <vt:lpstr>'Budget forcast'!Print_Titles</vt:lpstr>
    </vt:vector>
  </TitlesOfParts>
  <Company>HMC Management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Snyder</dc:creator>
  <cp:lastModifiedBy>Ken</cp:lastModifiedBy>
  <cp:lastPrinted>2013-05-10T21:45:34Z</cp:lastPrinted>
  <dcterms:created xsi:type="dcterms:W3CDTF">2011-10-07T16:13:07Z</dcterms:created>
  <dcterms:modified xsi:type="dcterms:W3CDTF">2013-05-29T16:27:38Z</dcterms:modified>
</cp:coreProperties>
</file>