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5"/>
  </bookViews>
  <sheets>
    <sheet name="Character Sheet" sheetId="5" r:id="rId1"/>
    <sheet name="Loadout" sheetId="1" r:id="rId2"/>
    <sheet name="Equipment" sheetId="2" r:id="rId3"/>
    <sheet name="Reference" sheetId="4" r:id="rId4"/>
    <sheet name="Instructions" sheetId="8" r:id="rId5"/>
    <sheet name="Version History" sheetId="6" r:id="rId6"/>
  </sheets>
  <definedNames>
    <definedName name="Ability_Point_Arrays">Reference!$M$1:$M$49</definedName>
    <definedName name="AmmoDetail">Equipment!$AG$3:$AJ$33</definedName>
    <definedName name="AmmoList">Equipment!$AG$3:$AG$33</definedName>
    <definedName name="AmmoTypeDetail">Equipment!$AK$3:$AN$8</definedName>
    <definedName name="AmmoTypeList">Equipment!$AK$3:$AK$8</definedName>
    <definedName name="ARMORDETAIL">Equipment!$R$3:$AF$41</definedName>
    <definedName name="ARMORLIST">Equipment!$R$3:$R$32</definedName>
    <definedName name="ClassDetail">Reference!$A$2:$D$13</definedName>
    <definedName name="ClassList">Reference!$A$2:$A$13</definedName>
    <definedName name="DamageStep">Reference!$H$1:$H$9</definedName>
    <definedName name="EDList">Reference!$G$2:$G$7</definedName>
    <definedName name="GEARDETAIL">Equipment!$A$3:$E$82</definedName>
    <definedName name="GEARLIST">Equipment!$A$3:$A$82</definedName>
    <definedName name="LadderList">Reference!$E$2:$E$9</definedName>
    <definedName name="LISTLOOKUP">Equipment!$F$3:$Q$114</definedName>
    <definedName name="nameLIST">Equipment!$F$3:$F$114</definedName>
    <definedName name="PPList">Reference!$F$2:$F$24</definedName>
    <definedName name="_xlnm.Print_Area" localSheetId="0">'Character Sheet'!$A$1:$W$46</definedName>
    <definedName name="_xlnm.Print_Area" localSheetId="1">Loadout!$A$1:$O$45</definedName>
    <definedName name="SHIELDDETAIL">Equipment!$R$34:$AF$41</definedName>
    <definedName name="SHIELDLIST">Equipment!$R$34:$R$41</definedName>
    <definedName name="StatDetail">Reference!$I$2:$K$7</definedName>
    <definedName name="StatList">Reference!$I$2:$I$7</definedName>
    <definedName name="WeaponWieldList">Reference!$L$1:$L$7</definedName>
  </definedNames>
  <calcPr calcId="145621"/>
</workbook>
</file>

<file path=xl/calcChain.xml><?xml version="1.0" encoding="utf-8"?>
<calcChain xmlns="http://schemas.openxmlformats.org/spreadsheetml/2006/main">
  <c r="S3" i="5" l="1"/>
  <c r="I6" i="5" l="1"/>
  <c r="J24" i="5"/>
  <c r="J33" i="5"/>
  <c r="J30" i="5"/>
  <c r="J27" i="5"/>
  <c r="E44" i="1" l="1"/>
  <c r="D44" i="1"/>
  <c r="C44" i="1"/>
  <c r="B44" i="1"/>
  <c r="E42" i="1"/>
  <c r="D42" i="1"/>
  <c r="C42" i="1"/>
  <c r="B42" i="1"/>
  <c r="E40" i="1"/>
  <c r="D40" i="1"/>
  <c r="C40" i="1"/>
  <c r="B40" i="1"/>
  <c r="E38" i="1"/>
  <c r="D38" i="1"/>
  <c r="C38" i="1"/>
  <c r="B38" i="1"/>
  <c r="E36" i="1"/>
  <c r="D36" i="1"/>
  <c r="C36" i="1"/>
  <c r="B36" i="1"/>
  <c r="E34" i="1"/>
  <c r="D34" i="1"/>
  <c r="C34" i="1"/>
  <c r="B34" i="1"/>
  <c r="E32" i="1"/>
  <c r="D32" i="1"/>
  <c r="C32" i="1"/>
  <c r="B32" i="1"/>
  <c r="E30" i="1"/>
  <c r="D30" i="1"/>
  <c r="C30" i="1"/>
  <c r="B30" i="1"/>
  <c r="E28" i="1"/>
  <c r="D28" i="1"/>
  <c r="C28" i="1"/>
  <c r="B28" i="1"/>
  <c r="E26" i="1"/>
  <c r="D26" i="1"/>
  <c r="C26" i="1"/>
  <c r="B26" i="1"/>
  <c r="E24" i="1"/>
  <c r="D24" i="1"/>
  <c r="C24" i="1"/>
  <c r="B24" i="1"/>
  <c r="E22" i="1"/>
  <c r="D22" i="1"/>
  <c r="C22" i="1"/>
  <c r="B22" i="1"/>
  <c r="E20" i="1"/>
  <c r="D20" i="1"/>
  <c r="C20" i="1"/>
  <c r="B20" i="1"/>
  <c r="E45" i="1"/>
  <c r="D45" i="1"/>
  <c r="C45" i="1"/>
  <c r="B45" i="1"/>
  <c r="E43" i="1"/>
  <c r="D43" i="1"/>
  <c r="C43" i="1"/>
  <c r="B43" i="1"/>
  <c r="E41" i="1"/>
  <c r="D41" i="1"/>
  <c r="C41" i="1"/>
  <c r="B41" i="1"/>
  <c r="E39" i="1"/>
  <c r="D39" i="1"/>
  <c r="C39" i="1"/>
  <c r="B39" i="1"/>
  <c r="E37" i="1"/>
  <c r="D37" i="1"/>
  <c r="C37" i="1"/>
  <c r="B37" i="1"/>
  <c r="E35" i="1"/>
  <c r="D35" i="1"/>
  <c r="C35" i="1"/>
  <c r="B35" i="1"/>
  <c r="E33" i="1"/>
  <c r="D33" i="1"/>
  <c r="C33" i="1"/>
  <c r="B33" i="1"/>
  <c r="E31" i="1"/>
  <c r="D31" i="1"/>
  <c r="C31" i="1"/>
  <c r="B31" i="1"/>
  <c r="E29" i="1"/>
  <c r="D29" i="1"/>
  <c r="C29" i="1"/>
  <c r="B29" i="1"/>
  <c r="E27" i="1"/>
  <c r="D27" i="1"/>
  <c r="C27" i="1"/>
  <c r="B27" i="1"/>
  <c r="E25" i="1"/>
  <c r="D25" i="1"/>
  <c r="C25" i="1"/>
  <c r="B25" i="1"/>
  <c r="E23" i="1"/>
  <c r="D23" i="1"/>
  <c r="C23" i="1"/>
  <c r="B23" i="1"/>
  <c r="E21" i="1"/>
  <c r="D21" i="1"/>
  <c r="C21" i="1"/>
  <c r="B21" i="1"/>
  <c r="D19" i="1"/>
  <c r="C19" i="1"/>
  <c r="B19" i="1"/>
  <c r="E19" i="1"/>
  <c r="K31" i="1" l="1"/>
  <c r="K35" i="1"/>
  <c r="K39" i="1"/>
  <c r="K45" i="1"/>
  <c r="K43" i="1"/>
  <c r="K41" i="1"/>
  <c r="K37" i="1"/>
  <c r="K33" i="1"/>
  <c r="K29" i="1"/>
  <c r="K27" i="1"/>
  <c r="L44" i="1"/>
  <c r="L42" i="1"/>
  <c r="L40" i="1"/>
  <c r="L38" i="1"/>
  <c r="L36" i="1"/>
  <c r="L34" i="1"/>
  <c r="L32" i="1"/>
  <c r="L30" i="1"/>
  <c r="L28" i="1"/>
  <c r="L26" i="1"/>
  <c r="K28" i="1"/>
  <c r="M28" i="1"/>
  <c r="K30" i="1"/>
  <c r="M30" i="1"/>
  <c r="K32" i="1"/>
  <c r="M32" i="1"/>
  <c r="K34" i="1"/>
  <c r="M34" i="1"/>
  <c r="K36" i="1"/>
  <c r="M36" i="1"/>
  <c r="K38" i="1"/>
  <c r="M38" i="1"/>
  <c r="K40" i="1"/>
  <c r="M40" i="1"/>
  <c r="K42" i="1"/>
  <c r="M42" i="1"/>
  <c r="K44" i="1"/>
  <c r="M44" i="1"/>
  <c r="K26" i="1"/>
  <c r="M26" i="1"/>
  <c r="K7" i="5" l="1"/>
  <c r="G41" i="5" s="1"/>
  <c r="H23" i="5"/>
  <c r="D34" i="5" l="1"/>
  <c r="H32" i="5"/>
  <c r="H29" i="5"/>
  <c r="D28" i="5"/>
  <c r="H26" i="5"/>
  <c r="H20" i="5"/>
  <c r="D20" i="5"/>
  <c r="H17" i="5"/>
  <c r="J18" i="5" s="1"/>
  <c r="D15" i="5"/>
  <c r="I13" i="5"/>
  <c r="D13" i="5"/>
  <c r="I7" i="5" s="1"/>
  <c r="I12" i="5"/>
  <c r="I11" i="5"/>
  <c r="D11" i="5"/>
  <c r="I10" i="5"/>
  <c r="J22" i="5" l="1"/>
  <c r="J21" i="5"/>
  <c r="E13" i="5"/>
  <c r="K3" i="4"/>
  <c r="E15" i="5"/>
  <c r="C19" i="5" s="1"/>
  <c r="J11" i="5"/>
  <c r="K4" i="4"/>
  <c r="K27" i="5" s="1"/>
  <c r="E20" i="5"/>
  <c r="C27" i="5" s="1"/>
  <c r="K5" i="4"/>
  <c r="E28" i="5"/>
  <c r="C30" i="5" s="1"/>
  <c r="J13" i="5"/>
  <c r="K6" i="4"/>
  <c r="E11" i="5"/>
  <c r="J12" i="5"/>
  <c r="K2" i="4"/>
  <c r="E34" i="5"/>
  <c r="C36" i="5" s="1"/>
  <c r="K7" i="4"/>
  <c r="J34" i="5"/>
  <c r="K33" i="5"/>
  <c r="J19" i="5"/>
  <c r="J28" i="5"/>
  <c r="H12" i="5"/>
  <c r="J29" i="5"/>
  <c r="J26" i="5"/>
  <c r="J31" i="5"/>
  <c r="J20" i="5"/>
  <c r="H11" i="5"/>
  <c r="C38" i="5"/>
  <c r="C37" i="5"/>
  <c r="H13" i="5"/>
  <c r="J17" i="5"/>
  <c r="N20" i="5"/>
  <c r="C23" i="5"/>
  <c r="J23" i="5"/>
  <c r="C24" i="5"/>
  <c r="J25" i="5"/>
  <c r="N26" i="5"/>
  <c r="N29" i="5"/>
  <c r="C31" i="5"/>
  <c r="S5" i="5" s="1"/>
  <c r="J32" i="5"/>
  <c r="N17" i="5"/>
  <c r="N23" i="5"/>
  <c r="C26" i="5"/>
  <c r="N32" i="5"/>
  <c r="K24" i="5" l="1"/>
  <c r="K18" i="5"/>
  <c r="K30" i="5"/>
  <c r="K21" i="5"/>
  <c r="C29" i="5"/>
  <c r="C25" i="5"/>
  <c r="C21" i="5"/>
  <c r="C33" i="5"/>
  <c r="S4" i="5" s="1"/>
  <c r="C32" i="5"/>
  <c r="C22" i="5"/>
  <c r="C35" i="5"/>
  <c r="O7" i="1"/>
  <c r="O6" i="1"/>
  <c r="M6" i="1"/>
  <c r="L4" i="4" l="1"/>
  <c r="G2" i="1" l="1"/>
  <c r="F2" i="1"/>
  <c r="E2" i="1"/>
  <c r="D2" i="1"/>
  <c r="L3" i="4" l="1"/>
  <c r="L5" i="4"/>
  <c r="L6" i="4"/>
  <c r="L7" i="4"/>
  <c r="L2" i="4"/>
  <c r="R47" i="2"/>
  <c r="M7" i="1"/>
  <c r="J2" i="4"/>
  <c r="J4" i="4" l="1"/>
  <c r="J6" i="4"/>
  <c r="J5" i="4"/>
  <c r="J7" i="4"/>
  <c r="J3" i="4"/>
  <c r="K32" i="5" l="1"/>
  <c r="M32" i="5" s="1"/>
  <c r="K23" i="5"/>
  <c r="M23" i="5" s="1"/>
  <c r="K17" i="5"/>
  <c r="M17" i="5" s="1"/>
  <c r="K29" i="5"/>
  <c r="M29" i="5" s="1"/>
  <c r="K26" i="5"/>
  <c r="M26" i="5" s="1"/>
  <c r="K20" i="5"/>
  <c r="M20" i="5" s="1"/>
  <c r="M12" i="1" l="1"/>
  <c r="M13" i="1"/>
  <c r="M14" i="1"/>
  <c r="M15" i="1"/>
  <c r="M16" i="1"/>
  <c r="M11" i="1"/>
  <c r="D7" i="1" l="1"/>
  <c r="E7" i="1"/>
  <c r="F7" i="1"/>
  <c r="G7" i="1"/>
  <c r="H7" i="1"/>
  <c r="I7" i="1"/>
  <c r="J7" i="1"/>
  <c r="K7" i="1"/>
  <c r="L7" i="1"/>
  <c r="C7" i="1"/>
  <c r="L10" i="5" s="1"/>
  <c r="D6" i="1"/>
  <c r="E6" i="1"/>
  <c r="S2" i="5" s="1"/>
  <c r="F6" i="1"/>
  <c r="G6" i="1"/>
  <c r="H6" i="1"/>
  <c r="I6" i="1"/>
  <c r="J6" i="1"/>
  <c r="K6" i="1"/>
  <c r="L6" i="1"/>
  <c r="C6" i="1"/>
  <c r="K10" i="5" s="1"/>
  <c r="H10" i="5" s="1"/>
  <c r="L16" i="1"/>
  <c r="K16" i="1"/>
  <c r="J16" i="1"/>
  <c r="I16" i="1"/>
  <c r="H16" i="1"/>
  <c r="G16" i="1"/>
  <c r="F16" i="1"/>
  <c r="E16" i="1"/>
  <c r="D16" i="1"/>
  <c r="C16" i="1"/>
  <c r="C15" i="1"/>
  <c r="D15" i="1"/>
  <c r="E15" i="1"/>
  <c r="F15" i="1"/>
  <c r="G15" i="1"/>
  <c r="H15" i="1"/>
  <c r="I15" i="1"/>
  <c r="J15" i="1"/>
  <c r="K15" i="1"/>
  <c r="L15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D11" i="1"/>
  <c r="E11" i="1"/>
  <c r="F11" i="1"/>
  <c r="G11" i="1"/>
  <c r="H11" i="1"/>
  <c r="I11" i="1"/>
  <c r="J11" i="1"/>
  <c r="B3" i="1" s="1"/>
  <c r="K11" i="1"/>
  <c r="L11" i="1"/>
  <c r="C11" i="1"/>
  <c r="K20" i="1" l="1"/>
  <c r="K22" i="1" s="1"/>
  <c r="G47" i="5"/>
  <c r="G43" i="5"/>
  <c r="H2" i="1"/>
  <c r="E16" i="5"/>
  <c r="C16" i="5" s="1"/>
  <c r="E14" i="5"/>
  <c r="E18" i="5"/>
  <c r="C18" i="5" s="1"/>
  <c r="E17" i="5"/>
  <c r="C17" i="5" s="1"/>
  <c r="E12" i="5"/>
  <c r="B2" i="1"/>
  <c r="G79" i="2"/>
  <c r="G80" i="2"/>
</calcChain>
</file>

<file path=xl/sharedStrings.xml><?xml version="1.0" encoding="utf-8"?>
<sst xmlns="http://schemas.openxmlformats.org/spreadsheetml/2006/main" count="1313" uniqueCount="698">
  <si>
    <t>Name</t>
  </si>
  <si>
    <t>Price</t>
  </si>
  <si>
    <t>Weight</t>
  </si>
  <si>
    <t>Load</t>
  </si>
  <si>
    <t>Gear</t>
  </si>
  <si>
    <t xml:space="preserve">Camera Ball </t>
  </si>
  <si>
    <t xml:space="preserve">Electro Optical Sensor </t>
  </si>
  <si>
    <t xml:space="preserve">Filament Camera </t>
  </si>
  <si>
    <t xml:space="preserve">Flash Goggles </t>
  </si>
  <si>
    <t xml:space="preserve">Force Shield </t>
  </si>
  <si>
    <t xml:space="preserve">23/TL3 </t>
  </si>
  <si>
    <t xml:space="preserve">Gravity Lens </t>
  </si>
  <si>
    <t xml:space="preserve">14/TL3 </t>
  </si>
  <si>
    <t xml:space="preserve">Grip Gloves </t>
  </si>
  <si>
    <t xml:space="preserve">6/TL2 </t>
  </si>
  <si>
    <t xml:space="preserve">Holographic Generator </t>
  </si>
  <si>
    <t xml:space="preserve">23/TL2 </t>
  </si>
  <si>
    <t xml:space="preserve">Infrared Goggles </t>
  </si>
  <si>
    <t xml:space="preserve">Lie Detector </t>
  </si>
  <si>
    <t xml:space="preserve">Metal Detector </t>
  </si>
  <si>
    <t xml:space="preserve">5/TL3 </t>
  </si>
  <si>
    <t>Level</t>
  </si>
  <si>
    <t xml:space="preserve">Acoustic Amplifier </t>
  </si>
  <si>
    <t xml:space="preserve">20/TL4 </t>
  </si>
  <si>
    <t xml:space="preserve">See Text. </t>
  </si>
  <si>
    <t xml:space="preserve">Agility Mark 1 </t>
  </si>
  <si>
    <t xml:space="preserve">Agility Mark 2 </t>
  </si>
  <si>
    <t xml:space="preserve">Agility Mark 3 </t>
  </si>
  <si>
    <t xml:space="preserve">11/TL2 </t>
  </si>
  <si>
    <t xml:space="preserve">Agility Mark 4 </t>
  </si>
  <si>
    <t xml:space="preserve">16/TL2 </t>
  </si>
  <si>
    <t xml:space="preserve">Agility Mark 5 </t>
  </si>
  <si>
    <t xml:space="preserve">21/TL3 </t>
  </si>
  <si>
    <t xml:space="preserve">Agility Mark 6 </t>
  </si>
  <si>
    <t xml:space="preserve">26/TL3 </t>
  </si>
  <si>
    <t xml:space="preserve">Alertness Mark 1 </t>
  </si>
  <si>
    <t xml:space="preserve">Alertness Mark 2 </t>
  </si>
  <si>
    <t xml:space="preserve">Alertness Mark 3 </t>
  </si>
  <si>
    <t xml:space="preserve">Alertness Mark 4 </t>
  </si>
  <si>
    <t xml:space="preserve">Alertness Mark 5 </t>
  </si>
  <si>
    <t xml:space="preserve">Alertness Mark 6 </t>
  </si>
  <si>
    <t xml:space="preserve">Endurance Mark 1 </t>
  </si>
  <si>
    <t xml:space="preserve">Endurance Mark 2 </t>
  </si>
  <si>
    <t xml:space="preserve">Endurance Mark 3 </t>
  </si>
  <si>
    <t xml:space="preserve">Endurance Mark 4 </t>
  </si>
  <si>
    <t xml:space="preserve">Endurance Mark 5 </t>
  </si>
  <si>
    <t xml:space="preserve">Endurance Mark 6 </t>
  </si>
  <si>
    <t xml:space="preserve">Regeneration Mark 1 </t>
  </si>
  <si>
    <t xml:space="preserve">25/TL3 </t>
  </si>
  <si>
    <t xml:space="preserve">Regeneration Mark 2 </t>
  </si>
  <si>
    <t xml:space="preserve">28/TL3 </t>
  </si>
  <si>
    <t xml:space="preserve">Strength Mark 1 </t>
  </si>
  <si>
    <t xml:space="preserve">Strength Mark 2 </t>
  </si>
  <si>
    <t xml:space="preserve">Strength Mark 3 </t>
  </si>
  <si>
    <t xml:space="preserve">Strength Mark 4 </t>
  </si>
  <si>
    <t xml:space="preserve">Strength Mark 5 </t>
  </si>
  <si>
    <t xml:space="preserve">Strength Mark 6 </t>
  </si>
  <si>
    <t xml:space="preserve">Anti-Gravity Generator </t>
  </si>
  <si>
    <t xml:space="preserve">Battery Flare </t>
  </si>
  <si>
    <t xml:space="preserve">Binoculars </t>
  </si>
  <si>
    <t xml:space="preserve">Briefcase </t>
  </si>
  <si>
    <t xml:space="preserve">Bolt cutter </t>
  </si>
  <si>
    <t xml:space="preserve">Caltrops (10) </t>
  </si>
  <si>
    <t xml:space="preserve">— </t>
  </si>
  <si>
    <t xml:space="preserve">Climbing Boots </t>
  </si>
  <si>
    <t xml:space="preserve">Compass </t>
  </si>
  <si>
    <t xml:space="preserve">Digital Audio Recorder </t>
  </si>
  <si>
    <t xml:space="preserve">Digital Camera </t>
  </si>
  <si>
    <t xml:space="preserve">Digital Video Camera </t>
  </si>
  <si>
    <t xml:space="preserve">Electric Torch </t>
  </si>
  <si>
    <t xml:space="preserve">Fire Extinguisher </t>
  </si>
  <si>
    <t xml:space="preserve">Glow-Paint </t>
  </si>
  <si>
    <t xml:space="preserve">Gas Mask </t>
  </si>
  <si>
    <t xml:space="preserve">Sunglasses </t>
  </si>
  <si>
    <t xml:space="preserve">Handcuffs </t>
  </si>
  <si>
    <t xml:space="preserve">Handheld Assistant </t>
  </si>
  <si>
    <t xml:space="preserve">Lighter </t>
  </si>
  <si>
    <t xml:space="preserve">Pillow </t>
  </si>
  <si>
    <t xml:space="preserve">Parabolic Microphone </t>
  </si>
  <si>
    <t xml:space="preserve">Perfume/Cologne </t>
  </si>
  <si>
    <t xml:space="preserve">Puppet </t>
  </si>
  <si>
    <t xml:space="preserve">Shovel </t>
  </si>
  <si>
    <t xml:space="preserve">Sleeping Bag </t>
  </si>
  <si>
    <t xml:space="preserve">Soap </t>
  </si>
  <si>
    <t xml:space="preserve">Spike Strip </t>
  </si>
  <si>
    <t xml:space="preserve">Suspension Filament </t>
  </si>
  <si>
    <t xml:space="preserve">1/TL2 </t>
  </si>
  <si>
    <t xml:space="preserve">Tent (2-6 person) </t>
  </si>
  <si>
    <t xml:space="preserve">Tourniquet </t>
  </si>
  <si>
    <t xml:space="preserve">Towel </t>
  </si>
  <si>
    <t xml:space="preserve">Two-Way Radio (1) </t>
  </si>
  <si>
    <t xml:space="preserve">Watch, Automatic </t>
  </si>
  <si>
    <t xml:space="preserve">Whistle </t>
  </si>
  <si>
    <t xml:space="preserve">Clothing - Business </t>
  </si>
  <si>
    <t xml:space="preserve">Clothing - Casual </t>
  </si>
  <si>
    <t xml:space="preserve">Clothing - Formal </t>
  </si>
  <si>
    <t xml:space="preserve">Clothing - Fatigues </t>
  </si>
  <si>
    <t xml:space="preserve">Revolver </t>
  </si>
  <si>
    <t xml:space="preserve">1d4 </t>
  </si>
  <si>
    <t xml:space="preserve">15/30 </t>
  </si>
  <si>
    <t xml:space="preserve">Pocket pistol </t>
  </si>
  <si>
    <t xml:space="preserve">Shot pistol </t>
  </si>
  <si>
    <t xml:space="preserve">1d8 </t>
  </si>
  <si>
    <t xml:space="preserve">Autoloader </t>
  </si>
  <si>
    <t xml:space="preserve">1d6 </t>
  </si>
  <si>
    <t xml:space="preserve">Caseless pistol </t>
  </si>
  <si>
    <t xml:space="preserve">Elite revolver </t>
  </si>
  <si>
    <t xml:space="preserve">ESP pistol </t>
  </si>
  <si>
    <t xml:space="preserve">Hand cannon </t>
  </si>
  <si>
    <t xml:space="preserve">Machine pistol </t>
  </si>
  <si>
    <t xml:space="preserve">Machine stub </t>
  </si>
  <si>
    <t xml:space="preserve">20/40 </t>
  </si>
  <si>
    <t xml:space="preserve">SPP pistol </t>
  </si>
  <si>
    <t xml:space="preserve">Coil pistol </t>
  </si>
  <si>
    <t xml:space="preserve">Rail pistol </t>
  </si>
  <si>
    <t xml:space="preserve">Off-hand </t>
  </si>
  <si>
    <t xml:space="preserve">Shotgun </t>
  </si>
  <si>
    <t xml:space="preserve">Auto/heavy auto </t>
  </si>
  <si>
    <t xml:space="preserve">High-crit </t>
  </si>
  <si>
    <t xml:space="preserve">Auto </t>
  </si>
  <si>
    <t xml:space="preserve">3/TL1 </t>
  </si>
  <si>
    <t xml:space="preserve">SPP </t>
  </si>
  <si>
    <t xml:space="preserve">Gauss </t>
  </si>
  <si>
    <t xml:space="preserve">4/TL2 </t>
  </si>
  <si>
    <t xml:space="preserve">Laser pistol </t>
  </si>
  <si>
    <t xml:space="preserve">M20 </t>
  </si>
  <si>
    <t xml:space="preserve">Laser </t>
  </si>
  <si>
    <t xml:space="preserve">Pellet pistol </t>
  </si>
  <si>
    <t xml:space="preserve">M15 </t>
  </si>
  <si>
    <t xml:space="preserve">Nuclear </t>
  </si>
  <si>
    <t xml:space="preserve">Plasma pistol </t>
  </si>
  <si>
    <t xml:space="preserve">5/TL4 </t>
  </si>
  <si>
    <t xml:space="preserve">1d10 </t>
  </si>
  <si>
    <t xml:space="preserve">Plasma </t>
  </si>
  <si>
    <t xml:space="preserve">Thumper pistol </t>
  </si>
  <si>
    <t xml:space="preserve">M30 </t>
  </si>
  <si>
    <t xml:space="preserve">7/TL4 </t>
  </si>
  <si>
    <t xml:space="preserve">Capacitor pistol </t>
  </si>
  <si>
    <t xml:space="preserve">Assault rifle </t>
  </si>
  <si>
    <t xml:space="preserve">• Undermount </t>
  </si>
  <si>
    <t xml:space="preserve">Sniper rifle </t>
  </si>
  <si>
    <t xml:space="preserve">Sniper </t>
  </si>
  <si>
    <t xml:space="preserve">Machine shotgun </t>
  </si>
  <si>
    <t xml:space="preserve">Auto, shotgun </t>
  </si>
  <si>
    <t xml:space="preserve">Submachine gun </t>
  </si>
  <si>
    <t xml:space="preserve">Caseless rifle </t>
  </si>
  <si>
    <t xml:space="preserve">ESP rifle </t>
  </si>
  <si>
    <t xml:space="preserve">25/40 </t>
  </si>
  <si>
    <t xml:space="preserve">Sniper cannon </t>
  </si>
  <si>
    <t xml:space="preserve">25/50 </t>
  </si>
  <si>
    <t xml:space="preserve">Sensor gun </t>
  </si>
  <si>
    <t xml:space="preserve">Sniper, SPP </t>
  </si>
  <si>
    <t xml:space="preserve">Sonic rifle </t>
  </si>
  <si>
    <t xml:space="preserve">Sonic </t>
  </si>
  <si>
    <t xml:space="preserve">SPP rifle </t>
  </si>
  <si>
    <t xml:space="preserve">30/60 </t>
  </si>
  <si>
    <t xml:space="preserve">Coilgun </t>
  </si>
  <si>
    <t xml:space="preserve">Kinetic flash rifle </t>
  </si>
  <si>
    <t xml:space="preserve">Auto, gauss </t>
  </si>
  <si>
    <t xml:space="preserve">Railgun </t>
  </si>
  <si>
    <t xml:space="preserve">Solid laser rifle </t>
  </si>
  <si>
    <t xml:space="preserve">Ultimate sniper </t>
  </si>
  <si>
    <t xml:space="preserve">50/100 </t>
  </si>
  <si>
    <t xml:space="preserve">Cyclotron rifle </t>
  </si>
  <si>
    <t xml:space="preserve">Gauss repeater </t>
  </si>
  <si>
    <t xml:space="preserve">Auto, gauss, high-crit </t>
  </si>
  <si>
    <t xml:space="preserve">M80 </t>
  </si>
  <si>
    <t xml:space="preserve">Plasma rifle </t>
  </si>
  <si>
    <t xml:space="preserve">Capacitor rifle </t>
  </si>
  <si>
    <t xml:space="preserve">H100 </t>
  </si>
  <si>
    <t xml:space="preserve">Thumper rifle </t>
  </si>
  <si>
    <t xml:space="preserve">H70 </t>
  </si>
  <si>
    <t>5/10</t>
  </si>
  <si>
    <t>10/20</t>
  </si>
  <si>
    <t xml:space="preserve">Auto, capacitor, plasma </t>
  </si>
  <si>
    <t xml:space="preserve">Auto, high-crit, laser </t>
  </si>
  <si>
    <t xml:space="preserve">Conceal, off-hand </t>
  </si>
  <si>
    <t xml:space="preserve">Gauss, high-crit </t>
  </si>
  <si>
    <t xml:space="preserve">Auto, versatile </t>
  </si>
  <si>
    <t>Prof</t>
  </si>
  <si>
    <t>Damage</t>
  </si>
  <si>
    <t>Range</t>
  </si>
  <si>
    <t>AP</t>
  </si>
  <si>
    <t xml:space="preserve">Gauss, high-crit, sniper </t>
  </si>
  <si>
    <t>Plasma</t>
  </si>
  <si>
    <t>2/3</t>
  </si>
  <si>
    <t>WT</t>
  </si>
  <si>
    <t>Clip</t>
  </si>
  <si>
    <t>Crit</t>
  </si>
  <si>
    <t>Keywords</t>
  </si>
  <si>
    <t>Weapons</t>
  </si>
  <si>
    <t xml:space="preserve">Hvy. machine gun </t>
  </si>
  <si>
    <t xml:space="preserve">Heavy auto </t>
  </si>
  <si>
    <t xml:space="preserve">Lt. machine gun </t>
  </si>
  <si>
    <t xml:space="preserve">Machine cannon </t>
  </si>
  <si>
    <t xml:space="preserve">Minigun </t>
  </si>
  <si>
    <t xml:space="preserve">30/40 </t>
  </si>
  <si>
    <t xml:space="preserve">ESP maelstrom </t>
  </si>
  <si>
    <t xml:space="preserve">40/80 </t>
  </si>
  <si>
    <t xml:space="preserve">Satellite sniper </t>
  </si>
  <si>
    <t xml:space="preserve">60/120 </t>
  </si>
  <si>
    <t xml:space="preserve">High-crit, sniper </t>
  </si>
  <si>
    <t xml:space="preserve">Coil light gun </t>
  </si>
  <si>
    <t xml:space="preserve">Sonic devastator </t>
  </si>
  <si>
    <t xml:space="preserve">H40 </t>
  </si>
  <si>
    <t xml:space="preserve">Solid laser cannon </t>
  </si>
  <si>
    <t xml:space="preserve">H30 </t>
  </si>
  <si>
    <t xml:space="preserve">Particle lance </t>
  </si>
  <si>
    <t xml:space="preserve">High-crit, nuclear </t>
  </si>
  <si>
    <t xml:space="preserve">Linear collider </t>
  </si>
  <si>
    <t xml:space="preserve">M100 </t>
  </si>
  <si>
    <t xml:space="preserve">Railcannon </t>
  </si>
  <si>
    <t xml:space="preserve">Gauss, heavy auto, high-crit </t>
  </si>
  <si>
    <t xml:space="preserve">Thumper cannon </t>
  </si>
  <si>
    <t xml:space="preserve">H200 </t>
  </si>
  <si>
    <t xml:space="preserve">“God’s Eye” sniper </t>
  </si>
  <si>
    <t xml:space="preserve">80/160 </t>
  </si>
  <si>
    <t xml:space="preserve">Pulse mini-gun </t>
  </si>
  <si>
    <t xml:space="preserve">Heavy auto, plasma </t>
  </si>
  <si>
    <t xml:space="preserve">Pulse apocalypse </t>
  </si>
  <si>
    <t xml:space="preserve">Capacitor, heavy auto, plasma </t>
  </si>
  <si>
    <t xml:space="preserve">Heavy auto, nuclear </t>
  </si>
  <si>
    <t xml:space="preserve">Mortar </t>
  </si>
  <si>
    <t xml:space="preserve">Special </t>
  </si>
  <si>
    <t xml:space="preserve">Grenade </t>
  </si>
  <si>
    <t xml:space="preserve">Autocannon </t>
  </si>
  <si>
    <t xml:space="preserve">Rotary cannon </t>
  </si>
  <si>
    <t xml:space="preserve">Volley gun ESP </t>
  </si>
  <si>
    <t xml:space="preserve">Heavy auto, special </t>
  </si>
  <si>
    <t xml:space="preserve">Super-kill sniper </t>
  </si>
  <si>
    <t xml:space="preserve">90/180 </t>
  </si>
  <si>
    <t xml:space="preserve">1d12 </t>
  </si>
  <si>
    <t xml:space="preserve">Particle beam gun </t>
  </si>
  <si>
    <t xml:space="preserve">H20 </t>
  </si>
  <si>
    <t xml:space="preserve">Mass driver </t>
  </si>
  <si>
    <t xml:space="preserve">Dense Focus plasma cannon </t>
  </si>
  <si>
    <t xml:space="preserve">Heavy auto, high-crit, plasma </t>
  </si>
  <si>
    <t xml:space="preserve">Air-Dart Pistol </t>
  </si>
  <si>
    <t xml:space="preserve">Capsicum spray </t>
  </si>
  <si>
    <t xml:space="preserve">1-handed </t>
  </si>
  <si>
    <t xml:space="preserve">Electroshock gun </t>
  </si>
  <si>
    <t xml:space="preserve">1-handed, pincher </t>
  </si>
  <si>
    <t xml:space="preserve">Field artillery </t>
  </si>
  <si>
    <t xml:space="preserve">Exp3, super heavy </t>
  </si>
  <si>
    <t xml:space="preserve">Flamethrower </t>
  </si>
  <si>
    <t xml:space="preserve">Heavy weapon </t>
  </si>
  <si>
    <t xml:space="preserve">Glue gun </t>
  </si>
  <si>
    <t xml:space="preserve">Exp1, heavy weapon </t>
  </si>
  <si>
    <t xml:space="preserve">Grenade launcher </t>
  </si>
  <si>
    <t xml:space="preserve">1-handed, grenade </t>
  </si>
  <si>
    <t xml:space="preserve">Grenade weapon </t>
  </si>
  <si>
    <t xml:space="preserve">Grenade, heavy weapon </t>
  </si>
  <si>
    <t xml:space="preserve">Ground heavy gun </t>
  </si>
  <si>
    <t xml:space="preserve">Exp1, super heavy </t>
  </si>
  <si>
    <t xml:space="preserve">Rocket launcher </t>
  </si>
  <si>
    <t xml:space="preserve">Exp1, guided, heavy weapon </t>
  </si>
  <si>
    <t xml:space="preserve">Net gun </t>
  </si>
  <si>
    <t xml:space="preserve">2-handed </t>
  </si>
  <si>
    <t xml:space="preserve">Pinch pulsar </t>
  </si>
  <si>
    <t xml:space="preserve">2-handed, pincher </t>
  </si>
  <si>
    <t xml:space="preserve">pincher </t>
  </si>
  <si>
    <t xml:space="preserve">Plasma artillery </t>
  </si>
  <si>
    <t xml:space="preserve">H4 </t>
  </si>
  <si>
    <t xml:space="preserve">Pulse blaster </t>
  </si>
  <si>
    <t xml:space="preserve">H5 </t>
  </si>
  <si>
    <t xml:space="preserve">Exp 1, heavy weapon, plasma </t>
  </si>
  <si>
    <t xml:space="preserve">Smart guided Rocket launcher </t>
  </si>
  <si>
    <t xml:space="preserve">Exp3, guided, heavy weapon </t>
  </si>
  <si>
    <t xml:space="preserve">Rocket Artillery </t>
  </si>
  <si>
    <t xml:space="preserve">Wave stunner </t>
  </si>
  <si>
    <t xml:space="preserve">M5 </t>
  </si>
  <si>
    <t xml:space="preserve">2/TL2 </t>
  </si>
  <si>
    <t xml:space="preserve">M1 </t>
  </si>
  <si>
    <t xml:space="preserve">Vapor rifle </t>
  </si>
  <si>
    <t xml:space="preserve">H6 </t>
  </si>
  <si>
    <t xml:space="preserve">Exp 2, plasma, super heavy </t>
  </si>
  <si>
    <t xml:space="preserve">Laser-guided Rocket launcher </t>
  </si>
  <si>
    <t xml:space="preserve">Heavy auto, high-crit, laser </t>
  </si>
  <si>
    <t>2/4</t>
  </si>
  <si>
    <t xml:space="preserve">Nuclear pulse rifle </t>
  </si>
  <si>
    <t xml:space="preserve">Auto, nuclear </t>
  </si>
  <si>
    <t xml:space="preserve">Brass knuckles </t>
  </si>
  <si>
    <t xml:space="preserve">Buzz baton </t>
  </si>
  <si>
    <t xml:space="preserve">Chainsaw </t>
  </si>
  <si>
    <t xml:space="preserve">Collapsible baton </t>
  </si>
  <si>
    <t xml:space="preserve">Combat knife </t>
  </si>
  <si>
    <t xml:space="preserve">Garrote </t>
  </si>
  <si>
    <t xml:space="preserve">Razor </t>
  </si>
  <si>
    <t xml:space="preserve">Tonfa </t>
  </si>
  <si>
    <t xml:space="preserve">Laser-cut tanto </t>
  </si>
  <si>
    <t xml:space="preserve">Harmonic blade </t>
  </si>
  <si>
    <t xml:space="preserve">M </t>
  </si>
  <si>
    <t xml:space="preserve">2/TL1 </t>
  </si>
  <si>
    <t xml:space="preserve">Piton-Gauntlet </t>
  </si>
  <si>
    <t xml:space="preserve">Power-Hooks </t>
  </si>
  <si>
    <t xml:space="preserve">Punch Gun </t>
  </si>
  <si>
    <t xml:space="preserve">Tesla Glove </t>
  </si>
  <si>
    <t xml:space="preserve">H </t>
  </si>
  <si>
    <t xml:space="preserve">Augment, off-hand  </t>
  </si>
  <si>
    <t xml:space="preserve">High-crit, 2-handed </t>
  </si>
  <si>
    <t xml:space="preserve">Special, two-handed </t>
  </si>
  <si>
    <t xml:space="preserve">Off-hand, pincher </t>
  </si>
  <si>
    <t xml:space="preserve">Augment, high-crit, off-hand </t>
  </si>
  <si>
    <t xml:space="preserve">Augment, off-hand </t>
  </si>
  <si>
    <t xml:space="preserve">Augment, off-hand, special </t>
  </si>
  <si>
    <t xml:space="preserve">Augment, off-hand, pincher </t>
  </si>
  <si>
    <t>Off-hand, special</t>
  </si>
  <si>
    <t>Secondary:</t>
  </si>
  <si>
    <t>Primary:</t>
  </si>
  <si>
    <t>Stored:</t>
  </si>
  <si>
    <t xml:space="preserve">Chemical Light Sticks (5) </t>
  </si>
  <si>
    <t>SELECT</t>
  </si>
  <si>
    <t>Armor</t>
  </si>
  <si>
    <t xml:space="preserve">Synthetic Weave </t>
  </si>
  <si>
    <t xml:space="preserve">Ballistics Armor </t>
  </si>
  <si>
    <t xml:space="preserve">Nanotech Armor </t>
  </si>
  <si>
    <t xml:space="preserve">Spider-Silk Suit </t>
  </si>
  <si>
    <t xml:space="preserve">16/TL1 </t>
  </si>
  <si>
    <t xml:space="preserve">VAC Suit </t>
  </si>
  <si>
    <t xml:space="preserve">17/TL2 </t>
  </si>
  <si>
    <t xml:space="preserve">Aramid Survival Suit </t>
  </si>
  <si>
    <t xml:space="preserve">Aramid Combat Suit </t>
  </si>
  <si>
    <t>Check</t>
  </si>
  <si>
    <t>Speed</t>
  </si>
  <si>
    <t>Hard</t>
  </si>
  <si>
    <t>HP</t>
  </si>
  <si>
    <t>Thresh</t>
  </si>
  <si>
    <t>Power</t>
  </si>
  <si>
    <t xml:space="preserve">Flack Longcoat </t>
  </si>
  <si>
    <t xml:space="preserve">Carbide Armor </t>
  </si>
  <si>
    <t xml:space="preserve">Tactical Body Armor </t>
  </si>
  <si>
    <t xml:space="preserve">Yowie Suit </t>
  </si>
  <si>
    <t xml:space="preserve">Advanced Wasteland </t>
  </si>
  <si>
    <t xml:space="preserve">Dragon-Mail </t>
  </si>
  <si>
    <t xml:space="preserve">Full Combat Warrior </t>
  </si>
  <si>
    <t xml:space="preserve">SLA Jackal </t>
  </si>
  <si>
    <t xml:space="preserve">LA Wolf </t>
  </si>
  <si>
    <t xml:space="preserve">EA Maddox </t>
  </si>
  <si>
    <t xml:space="preserve">25/TL4 </t>
  </si>
  <si>
    <t xml:space="preserve">LHA Kodiak </t>
  </si>
  <si>
    <t xml:space="preserve">17/TL3 </t>
  </si>
  <si>
    <t xml:space="preserve">HA Vandal </t>
  </si>
  <si>
    <t xml:space="preserve">HA Vulture </t>
  </si>
  <si>
    <t xml:space="preserve">20/TL3 </t>
  </si>
  <si>
    <t xml:space="preserve">SHA Demigod </t>
  </si>
  <si>
    <t xml:space="preserve">SHA Goliath </t>
  </si>
  <si>
    <t xml:space="preserve">XH Atlas </t>
  </si>
  <si>
    <t xml:space="preserve">15/TL3 </t>
  </si>
  <si>
    <t xml:space="preserve">XH Fortress </t>
  </si>
  <si>
    <t xml:space="preserve">18/TL4 </t>
  </si>
  <si>
    <t xml:space="preserve">XH Dragon </t>
  </si>
  <si>
    <t xml:space="preserve">ADS </t>
  </si>
  <si>
    <t xml:space="preserve">H/H20 </t>
  </si>
  <si>
    <t xml:space="preserve">Deployable Shield </t>
  </si>
  <si>
    <t xml:space="preserve">Energy Envelope </t>
  </si>
  <si>
    <t xml:space="preserve">Kinetic Baffle </t>
  </si>
  <si>
    <t xml:space="preserve">Repulsor Engine </t>
  </si>
  <si>
    <t xml:space="preserve">Riot Shield </t>
  </si>
  <si>
    <t>Shield</t>
  </si>
  <si>
    <t xml:space="preserve">Common </t>
  </si>
  <si>
    <t xml:space="preserve">Agile </t>
  </si>
  <si>
    <t xml:space="preserve">Combat </t>
  </si>
  <si>
    <t xml:space="preserve">Hazard </t>
  </si>
  <si>
    <t>Loads:</t>
  </si>
  <si>
    <t>Current Load:</t>
  </si>
  <si>
    <t>Attributes:</t>
  </si>
  <si>
    <t>Str</t>
  </si>
  <si>
    <t>Con</t>
  </si>
  <si>
    <t>Dex</t>
  </si>
  <si>
    <t>Int</t>
  </si>
  <si>
    <t>Wis</t>
  </si>
  <si>
    <t>Cha</t>
  </si>
  <si>
    <t>Level:</t>
  </si>
  <si>
    <t>Misc</t>
  </si>
  <si>
    <t>Character Name:</t>
  </si>
  <si>
    <t>Acrobatics</t>
  </si>
  <si>
    <t>Athletics</t>
  </si>
  <si>
    <t>Arcana</t>
  </si>
  <si>
    <t>Bluff</t>
  </si>
  <si>
    <t>Diplomacy</t>
  </si>
  <si>
    <t>Dungeoneering</t>
  </si>
  <si>
    <t>Endurance</t>
  </si>
  <si>
    <t>Heal</t>
  </si>
  <si>
    <t>History</t>
  </si>
  <si>
    <t>Insight</t>
  </si>
  <si>
    <t>Intimidate</t>
  </si>
  <si>
    <t>Nature</t>
  </si>
  <si>
    <t>Perception</t>
  </si>
  <si>
    <t>Religion</t>
  </si>
  <si>
    <t>Stealth</t>
  </si>
  <si>
    <t>Streetwise</t>
  </si>
  <si>
    <t>Theivery</t>
  </si>
  <si>
    <t>Computer Use</t>
  </si>
  <si>
    <t>Demolitions</t>
  </si>
  <si>
    <t>Engineer</t>
  </si>
  <si>
    <t>Sciences</t>
  </si>
  <si>
    <t>Vehicle Op</t>
  </si>
  <si>
    <t>Bonus</t>
  </si>
  <si>
    <t>Class:</t>
  </si>
  <si>
    <t>Ladder:</t>
  </si>
  <si>
    <t>Classes</t>
  </si>
  <si>
    <t>Ladders</t>
  </si>
  <si>
    <t>Select</t>
  </si>
  <si>
    <t>Faceman</t>
  </si>
  <si>
    <t>Grappler</t>
  </si>
  <si>
    <t>Gunslinger</t>
  </si>
  <si>
    <t>Heavy</t>
  </si>
  <si>
    <t>infiltrator</t>
  </si>
  <si>
    <t>Man-At-Arms</t>
  </si>
  <si>
    <t>Mastermind</t>
  </si>
  <si>
    <t>Sniper</t>
  </si>
  <si>
    <t>Specialist</t>
  </si>
  <si>
    <t>Techie</t>
  </si>
  <si>
    <t>Vanguard</t>
  </si>
  <si>
    <t>Born Leader</t>
  </si>
  <si>
    <t>Juggernaut</t>
  </si>
  <si>
    <t>Runner</t>
  </si>
  <si>
    <t>Savant</t>
  </si>
  <si>
    <t>Suvivor</t>
  </si>
  <si>
    <t>Veteran</t>
  </si>
  <si>
    <t>Warrior</t>
  </si>
  <si>
    <t>Age:</t>
  </si>
  <si>
    <t>Height:</t>
  </si>
  <si>
    <t>Weight:</t>
  </si>
  <si>
    <t>Sex:</t>
  </si>
  <si>
    <t>x</t>
  </si>
  <si>
    <t>Mod</t>
  </si>
  <si>
    <t>AC</t>
  </si>
  <si>
    <t>Fort</t>
  </si>
  <si>
    <t>Ref</t>
  </si>
  <si>
    <t>Will</t>
  </si>
  <si>
    <t>Ability</t>
  </si>
  <si>
    <t>Feat</t>
  </si>
  <si>
    <t>Enh</t>
  </si>
  <si>
    <t>Total</t>
  </si>
  <si>
    <t xml:space="preserve">Forced Entry Shield </t>
  </si>
  <si>
    <t>Half lvl</t>
  </si>
  <si>
    <t>Stat</t>
  </si>
  <si>
    <t>X</t>
  </si>
  <si>
    <t>Armor Chk</t>
  </si>
  <si>
    <t>Speed:</t>
  </si>
  <si>
    <t>Paragon Path:</t>
  </si>
  <si>
    <t>Epic Destiny:</t>
  </si>
  <si>
    <t>Type</t>
  </si>
  <si>
    <t>Special</t>
  </si>
  <si>
    <t>light</t>
  </si>
  <si>
    <t>heavy</t>
  </si>
  <si>
    <t>Basic Attacks</t>
  </si>
  <si>
    <t>Weapon:</t>
  </si>
  <si>
    <t>Stat:</t>
  </si>
  <si>
    <t>Stats</t>
  </si>
  <si>
    <t>Attrib</t>
  </si>
  <si>
    <t>To Hit</t>
  </si>
  <si>
    <t>Feats</t>
  </si>
  <si>
    <t>Powers</t>
  </si>
  <si>
    <t>Init:</t>
  </si>
  <si>
    <t>Defense</t>
  </si>
  <si>
    <t>Passive Perception:</t>
  </si>
  <si>
    <t>Passive Insight:</t>
  </si>
  <si>
    <t>Body</t>
  </si>
  <si>
    <t>Trained:</t>
  </si>
  <si>
    <t>Loadout</t>
  </si>
  <si>
    <t>Authority</t>
  </si>
  <si>
    <t>Champion</t>
  </si>
  <si>
    <t>Cinematic Cliché</t>
  </si>
  <si>
    <t>Cleaner</t>
  </si>
  <si>
    <t>Commando</t>
  </si>
  <si>
    <t>Country Gunman</t>
  </si>
  <si>
    <t>Diplomat</t>
  </si>
  <si>
    <t>Driver</t>
  </si>
  <si>
    <t>Field Sniper</t>
  </si>
  <si>
    <t>Iron Mike</t>
  </si>
  <si>
    <t>Machine of War</t>
  </si>
  <si>
    <t>Militarist</t>
  </si>
  <si>
    <t>Paramedic</t>
  </si>
  <si>
    <t>Modern Warrior</t>
  </si>
  <si>
    <t>Ring Fighter</t>
  </si>
  <si>
    <t>Sapper</t>
  </si>
  <si>
    <t>Pathfinder</t>
  </si>
  <si>
    <t>Selfless Protector</t>
  </si>
  <si>
    <t>Skirmisher</t>
  </si>
  <si>
    <t>Special Operative</t>
  </si>
  <si>
    <t>Suave</t>
  </si>
  <si>
    <t>Threat Analyst</t>
  </si>
  <si>
    <t>Master</t>
  </si>
  <si>
    <t>Most Dangerous</t>
  </si>
  <si>
    <t>Respected</t>
  </si>
  <si>
    <t>Team</t>
  </si>
  <si>
    <t>Ultimate</t>
  </si>
  <si>
    <t>Languages:</t>
  </si>
  <si>
    <t>Ultramodern4</t>
  </si>
  <si>
    <t>Character Sheet</t>
  </si>
  <si>
    <t>Ability Point Arrays</t>
  </si>
  <si>
    <t>All Even</t>
  </si>
  <si>
    <t>18,12,12,12,10,8</t>
  </si>
  <si>
    <t>18,12,12,10,10,10</t>
  </si>
  <si>
    <t>16,16,12,12,10,8</t>
  </si>
  <si>
    <t>16,16,12,10,10,10</t>
  </si>
  <si>
    <t>16,14,12,12,12,10</t>
  </si>
  <si>
    <t>14,14,14,14,12,8</t>
  </si>
  <si>
    <t>14,14,14,14,10,10</t>
  </si>
  <si>
    <t>8-point Arrays</t>
  </si>
  <si>
    <t>16 14 12 12 12 10</t>
  </si>
  <si>
    <t>16 13 12 12 12 12</t>
  </si>
  <si>
    <t>15 14 12 12 12 12</t>
  </si>
  <si>
    <t>14 14 14 14 12 8</t>
  </si>
  <si>
    <t>14 14 14 14 10 10</t>
  </si>
  <si>
    <t>14 14 14 13 12 10</t>
  </si>
  <si>
    <t>14 14 14 12 12 11</t>
  </si>
  <si>
    <t>14 14 13 13 12 12</t>
  </si>
  <si>
    <t>7-point Arrays</t>
  </si>
  <si>
    <t>17 12 12 12 12 10</t>
  </si>
  <si>
    <t>16 16 12 12 10 8</t>
  </si>
  <si>
    <t>16 16 12 10 10 10</t>
  </si>
  <si>
    <t>16 15 12 12 12 8</t>
  </si>
  <si>
    <t>16 15 12 12 10 10</t>
  </si>
  <si>
    <t>16 14 14 13 10 8</t>
  </si>
  <si>
    <t>16 14 14 12 11 8</t>
  </si>
  <si>
    <t>16 14 14 12 10 9</t>
  </si>
  <si>
    <t>16 14 14 11 10 10</t>
  </si>
  <si>
    <t>16 14 13 13 12 8</t>
  </si>
  <si>
    <t>16 14 13 13 10 10</t>
  </si>
  <si>
    <t>16 14 13 12 12 9</t>
  </si>
  <si>
    <t>16 14 13 12 11 10</t>
  </si>
  <si>
    <t>16 14 12 12 11 11</t>
  </si>
  <si>
    <t>16 13 13 13 12 10</t>
  </si>
  <si>
    <t>16 13 13 12 12 11</t>
  </si>
  <si>
    <t>15 15 12 12 12 10</t>
  </si>
  <si>
    <t>15 14 14 14 10 8</t>
  </si>
  <si>
    <t>15 14 14 13 12 8</t>
  </si>
  <si>
    <t>15 14 14 13 10 10</t>
  </si>
  <si>
    <t>15 14 14 12 12 9</t>
  </si>
  <si>
    <t>15 14 14 12 11 10</t>
  </si>
  <si>
    <t>15 14 13 13 12 10</t>
  </si>
  <si>
    <t>15 14 13 12 12 11</t>
  </si>
  <si>
    <t>15 13 13 13 12 12</t>
  </si>
  <si>
    <t>14 14 14 14 11 9</t>
  </si>
  <si>
    <t>14 14 14 13 13 9</t>
  </si>
  <si>
    <t>14 14 14 13 11 11</t>
  </si>
  <si>
    <t>14 14 13 13 13 11</t>
  </si>
  <si>
    <t>14 13 13 13 13 13</t>
  </si>
  <si>
    <t>Ability Arrays:</t>
  </si>
  <si>
    <t>Version History:</t>
  </si>
  <si>
    <t>v1.0</t>
  </si>
  <si>
    <t>Loadout Points Used:</t>
  </si>
  <si>
    <t>By: Herrozerro</t>
  </si>
  <si>
    <t>HP:</t>
  </si>
  <si>
    <t>Surges:</t>
  </si>
  <si>
    <t>Max</t>
  </si>
  <si>
    <t>Current</t>
  </si>
  <si>
    <t>Worth</t>
  </si>
  <si>
    <t>Cash on Hand:</t>
  </si>
  <si>
    <t>Gear Value:</t>
  </si>
  <si>
    <t>Net Worth:</t>
  </si>
  <si>
    <t>Saved Wealth:</t>
  </si>
  <si>
    <t>initial Release</t>
  </si>
  <si>
    <t>Unarmed Attack</t>
  </si>
  <si>
    <t>Unarmed Attack (Trained)</t>
  </si>
  <si>
    <t>1d6</t>
  </si>
  <si>
    <t>off-hand</t>
  </si>
  <si>
    <t>Properties:</t>
  </si>
  <si>
    <t>Damage Step</t>
  </si>
  <si>
    <t>1d4</t>
  </si>
  <si>
    <t>1d8</t>
  </si>
  <si>
    <t>1d10</t>
  </si>
  <si>
    <t>1d12</t>
  </si>
  <si>
    <t>2d6</t>
  </si>
  <si>
    <t>2d8</t>
  </si>
  <si>
    <t>2d10</t>
  </si>
  <si>
    <t>Grenade</t>
  </si>
  <si>
    <t>1d8+8</t>
  </si>
  <si>
    <t>1d6+6</t>
  </si>
  <si>
    <t>1d10+10</t>
  </si>
  <si>
    <t>2d6+6</t>
  </si>
  <si>
    <t>1d12+12</t>
  </si>
  <si>
    <t>Die</t>
  </si>
  <si>
    <t>Diestep</t>
  </si>
  <si>
    <t>Override</t>
  </si>
  <si>
    <t>1/special</t>
  </si>
  <si>
    <t>3d6+6</t>
  </si>
  <si>
    <t>2d4/ special</t>
  </si>
  <si>
    <t>2d6+10</t>
  </si>
  <si>
    <t>Class/Feat/Misc Bonus Details</t>
  </si>
  <si>
    <t>Reload</t>
  </si>
  <si>
    <t>Move Action</t>
  </si>
  <si>
    <t>Equip or Stow</t>
  </si>
  <si>
    <t>Minor Action</t>
  </si>
  <si>
    <t>Second Wind</t>
  </si>
  <si>
    <t>Surge</t>
  </si>
  <si>
    <t>Value</t>
  </si>
  <si>
    <t>Standard Action</t>
  </si>
  <si>
    <t>Walk</t>
  </si>
  <si>
    <t>Equip or stow one piece of equipment</t>
  </si>
  <si>
    <t>Reload one clip or grenade</t>
  </si>
  <si>
    <t>-2 penalty to attacks with Two Handed Small arms if you move more than one square, -4 if you move at all with heavy weapons.</t>
  </si>
  <si>
    <t>Run</t>
  </si>
  <si>
    <t>Shift</t>
  </si>
  <si>
    <t>Move 1 square without provoking Opportunity Attacks</t>
  </si>
  <si>
    <t>Ammunition</t>
  </si>
  <si>
    <t xml:space="preserve">Ammunition Type </t>
  </si>
  <si>
    <t xml:space="preserve">[W] Application </t>
  </si>
  <si>
    <t xml:space="preserve">Load </t>
  </si>
  <si>
    <t xml:space="preserve">Cost </t>
  </si>
  <si>
    <t xml:space="preserve">Battery cell – M (1) </t>
  </si>
  <si>
    <t xml:space="preserve">Various </t>
  </si>
  <si>
    <t xml:space="preserve">Battery cell – H (1) </t>
  </si>
  <si>
    <t xml:space="preserve">Capsicum Cartridge (3) </t>
  </si>
  <si>
    <t xml:space="preserve">Electroshock Cartridge </t>
  </si>
  <si>
    <t xml:space="preserve">Flame Tank (1 tank) </t>
  </si>
  <si>
    <t xml:space="preserve">2d6 </t>
  </si>
  <si>
    <t xml:space="preserve">2d8 </t>
  </si>
  <si>
    <t xml:space="preserve">2d10 </t>
  </si>
  <si>
    <t xml:space="preserve">Glue Clip (6) </t>
  </si>
  <si>
    <t xml:space="preserve">2d6+6 </t>
  </si>
  <si>
    <t xml:space="preserve">3d6+6 </t>
  </si>
  <si>
    <t xml:space="preserve">Needles, Air Dart (5) </t>
  </si>
  <si>
    <t xml:space="preserve">Net cartridge (1) </t>
  </si>
  <si>
    <t xml:space="preserve">Shotgun Slug (4) </t>
  </si>
  <si>
    <t xml:space="preserve">1d8/1d10 </t>
  </si>
  <si>
    <t xml:space="preserve">1d4/1d6 </t>
  </si>
  <si>
    <t xml:space="preserve">2d6/1d6+6 </t>
  </si>
  <si>
    <t xml:space="preserve">2d8/1d8+8 </t>
  </si>
  <si>
    <t xml:space="preserve">2d10/1d10+10 </t>
  </si>
  <si>
    <t>Cost</t>
  </si>
  <si>
    <t>[W] Application</t>
  </si>
  <si>
    <t>Qty</t>
  </si>
  <si>
    <t>Loax(X)</t>
  </si>
  <si>
    <t>Load (X)</t>
  </si>
  <si>
    <t>Gauss iron flechette (1) 1d6</t>
  </si>
  <si>
    <t>Gauss iron flechette (1) 1d8</t>
  </si>
  <si>
    <t>Gauss iron flechette (1) 1d10</t>
  </si>
  <si>
    <t>Gauss iron flechette (1) 2d6</t>
  </si>
  <si>
    <t>Gauss iron flechette (1) 2d8</t>
  </si>
  <si>
    <t>Gauss iron flechette (1) 2d10</t>
  </si>
  <si>
    <t>Heavy Shell (1) 2d6+6</t>
  </si>
  <si>
    <t>Heavy Shell (1) 3d6+6</t>
  </si>
  <si>
    <t>Sabot SPP (6) 1d6</t>
  </si>
  <si>
    <t>Sabot SPP (6) 1d8</t>
  </si>
  <si>
    <t>Traditional bullet (20) 1d4/1d6</t>
  </si>
  <si>
    <t>Traditional bullet (20) 1d8</t>
  </si>
  <si>
    <t>Traditional bullet (20) 1d10</t>
  </si>
  <si>
    <t>Traditional bullet (20) 2d6/1d6+6</t>
  </si>
  <si>
    <t>Traditional bullet (10) 2d8/1d8+8</t>
  </si>
  <si>
    <t>Traditional bullet (10) 2d10/1d10+10</t>
  </si>
  <si>
    <t>Caseless round (20) 1d6</t>
  </si>
  <si>
    <t>Caseless round (20) 1d8</t>
  </si>
  <si>
    <t>ESP Bullet (20) 1d6</t>
  </si>
  <si>
    <t>ESP Bullet (20) 1d8</t>
  </si>
  <si>
    <t>ESP Bullet (20) 1d10</t>
  </si>
  <si>
    <t>Alternate Ammo Types</t>
  </si>
  <si>
    <t>Armor Piercing</t>
  </si>
  <si>
    <t>High Explosive</t>
  </si>
  <si>
    <t>Tracer</t>
  </si>
  <si>
    <t>Rubber</t>
  </si>
  <si>
    <t>Hollow Point</t>
  </si>
  <si>
    <t>Alt Ammo</t>
  </si>
  <si>
    <t>Rule Text</t>
  </si>
  <si>
    <t>+5 AP, No critical hits, Cannot increase 1pt Dam.</t>
  </si>
  <si>
    <t>+1 Burst Area</t>
  </si>
  <si>
    <t>+1 attacks rolls in long range, -1 to each Damage Die</t>
  </si>
  <si>
    <t>+1 Critical Die, -2 AP.  Weapon must have at least 2 AP</t>
  </si>
  <si>
    <t>&lt;=Medium targets Dazed, 0 damage, at least 1[W] attack</t>
  </si>
  <si>
    <t>Half Level</t>
  </si>
  <si>
    <t>--Small Arms - Two handed</t>
  </si>
  <si>
    <t>--Small Arms - One Handed</t>
  </si>
  <si>
    <t>--Heavy Weapons</t>
  </si>
  <si>
    <t>--Super Heavy Weapons</t>
  </si>
  <si>
    <t>--Speciality Weapons</t>
  </si>
  <si>
    <t>--Melee Weapons</t>
  </si>
  <si>
    <t>--Light Modern Armor</t>
  </si>
  <si>
    <t>--Heavy Modern Armor</t>
  </si>
  <si>
    <t xml:space="preserve">--Advanced -Light </t>
  </si>
  <si>
    <t xml:space="preserve">--Advanced -Heavy </t>
  </si>
  <si>
    <t>--Shields</t>
  </si>
  <si>
    <t xml:space="preserve">Standard Adventurers Kit </t>
  </si>
  <si>
    <t xml:space="preserve">--Boosters </t>
  </si>
  <si>
    <t xml:space="preserve"> </t>
  </si>
  <si>
    <t>Start HP</t>
  </si>
  <si>
    <t>HP/Level</t>
  </si>
  <si>
    <t>Surges</t>
  </si>
  <si>
    <t>Character Mannerisms</t>
  </si>
  <si>
    <t>Goals:</t>
  </si>
  <si>
    <t>Persona:</t>
  </si>
  <si>
    <t>Weapon wield list</t>
  </si>
  <si>
    <t>PP List</t>
  </si>
  <si>
    <t>ED List</t>
  </si>
  <si>
    <t>v1.1</t>
  </si>
  <si>
    <t>Fixed reference page so that it's easier to add new referances.</t>
  </si>
  <si>
    <t>Added Logo</t>
  </si>
  <si>
    <t>Fixed Ammunition loadouts per errata</t>
  </si>
  <si>
    <t>In order to add any items, insert cells across the whole list (IE the Gear list would be name, price, wt, load and level.)</t>
  </si>
  <si>
    <t>Add the item, and make sure the named range for the name column and the whole list are complete and you should be good to go.</t>
  </si>
  <si>
    <t>Added Instructions for adding new items.</t>
  </si>
  <si>
    <t>`</t>
  </si>
  <si>
    <t>v1.2</t>
  </si>
  <si>
    <t>Small formula tweeks</t>
  </si>
  <si>
    <t>Created Google Docs Version</t>
  </si>
  <si>
    <t>Fixed Alternate Ammo's price multiplier to factor 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</si>
</sst>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0\ &quot;lbs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0"/>
      <color rgb="FF333333"/>
      <name val="Verdan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NumberFormat="1" applyFont="1" applyAlignment="1">
      <alignment horizontal="center" vertical="center" wrapText="1"/>
    </xf>
    <xf numFmtId="0" fontId="3" fillId="0" borderId="0" xfId="0" quotePrefix="1" applyNumberFormat="1" applyFont="1" applyAlignment="1">
      <alignment horizontal="center" vertical="center" wrapText="1"/>
    </xf>
    <xf numFmtId="16" fontId="3" fillId="0" borderId="0" xfId="0" quotePrefix="1" applyNumberFormat="1" applyFont="1" applyAlignment="1">
      <alignment horizontal="center" vertical="center" wrapText="1"/>
    </xf>
    <xf numFmtId="0" fontId="1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Border="1"/>
    <xf numFmtId="0" fontId="0" fillId="6" borderId="0" xfId="0" applyFill="1"/>
    <xf numFmtId="0" fontId="0" fillId="6" borderId="0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5" borderId="1" xfId="0" applyFill="1" applyBorder="1"/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6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6" borderId="0" xfId="0" applyFill="1" applyAlignment="1">
      <alignment horizontal="center" wrapText="1"/>
    </xf>
    <xf numFmtId="0" fontId="0" fillId="8" borderId="0" xfId="0" applyFill="1"/>
    <xf numFmtId="0" fontId="0" fillId="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8" fillId="0" borderId="0" xfId="1" applyFill="1" applyBorder="1" applyAlignment="1">
      <alignment horizontal="left"/>
    </xf>
    <xf numFmtId="16" fontId="0" fillId="0" borderId="0" xfId="0" applyNumberFormat="1"/>
    <xf numFmtId="0" fontId="0" fillId="5" borderId="1" xfId="0" applyFill="1" applyBorder="1" applyAlignment="1">
      <alignment horizontal="center" vertical="top" wrapText="1"/>
    </xf>
    <xf numFmtId="0" fontId="0" fillId="11" borderId="1" xfId="0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1" applyFill="1" applyBorder="1" applyAlignment="1"/>
    <xf numFmtId="0" fontId="0" fillId="11" borderId="0" xfId="0" applyFill="1"/>
    <xf numFmtId="0" fontId="0" fillId="0" borderId="0" xfId="0" applyFill="1" applyAlignment="1">
      <alignment horizontal="center"/>
    </xf>
    <xf numFmtId="0" fontId="0" fillId="6" borderId="0" xfId="0" applyFill="1" applyAlignment="1"/>
    <xf numFmtId="0" fontId="0" fillId="11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0" borderId="0" xfId="0" applyAlignment="1">
      <alignment horizontal="center"/>
    </xf>
    <xf numFmtId="0" fontId="11" fillId="0" borderId="0" xfId="0" applyFont="1" applyAlignment="1">
      <alignment vertical="center"/>
    </xf>
    <xf numFmtId="0" fontId="0" fillId="8" borderId="1" xfId="0" applyFill="1" applyBorder="1"/>
    <xf numFmtId="0" fontId="0" fillId="2" borderId="1" xfId="0" applyFill="1" applyBorder="1"/>
    <xf numFmtId="0" fontId="0" fillId="8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8" borderId="1" xfId="0" applyFill="1" applyBorder="1" applyAlignment="1">
      <alignment horizontal="right"/>
    </xf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164" fontId="0" fillId="5" borderId="0" xfId="0" applyNumberFormat="1" applyFill="1"/>
    <xf numFmtId="164" fontId="0" fillId="11" borderId="0" xfId="0" applyNumberFormat="1" applyFill="1"/>
    <xf numFmtId="0" fontId="0" fillId="12" borderId="0" xfId="0" applyFill="1"/>
    <xf numFmtId="0" fontId="0" fillId="12" borderId="1" xfId="0" applyFill="1" applyBorder="1" applyAlignment="1">
      <alignment horizontal="center"/>
    </xf>
    <xf numFmtId="0" fontId="0" fillId="9" borderId="0" xfId="0" applyFill="1"/>
    <xf numFmtId="0" fontId="7" fillId="5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9" borderId="3" xfId="0" applyFill="1" applyBorder="1" applyAlignment="1">
      <alignment horizontal="center"/>
    </xf>
    <xf numFmtId="0" fontId="0" fillId="12" borderId="0" xfId="0" applyFont="1" applyFill="1"/>
    <xf numFmtId="0" fontId="0" fillId="9" borderId="0" xfId="0" applyFont="1" applyFill="1"/>
    <xf numFmtId="0" fontId="0" fillId="11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4" fillId="0" borderId="0" xfId="0" applyFont="1" applyAlignment="1">
      <alignment vertical="center" wrapText="1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2" borderId="1" xfId="0" applyFill="1" applyBorder="1"/>
    <xf numFmtId="0" fontId="0" fillId="9" borderId="1" xfId="0" applyFill="1" applyBorder="1"/>
    <xf numFmtId="164" fontId="0" fillId="8" borderId="0" xfId="0" applyNumberFormat="1" applyFill="1"/>
    <xf numFmtId="0" fontId="0" fillId="0" borderId="0" xfId="0" applyFont="1"/>
    <xf numFmtId="0" fontId="0" fillId="0" borderId="0" xfId="0" quotePrefix="1" applyFont="1"/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13" fillId="6" borderId="0" xfId="0" quotePrefix="1" applyFont="1" applyFill="1"/>
    <xf numFmtId="0" fontId="1" fillId="6" borderId="0" xfId="0" quotePrefix="1" applyFont="1" applyFill="1" applyAlignment="1">
      <alignment horizontal="left" vertical="top"/>
    </xf>
    <xf numFmtId="0" fontId="1" fillId="6" borderId="0" xfId="0" quotePrefix="1" applyFont="1" applyFill="1" applyAlignment="1">
      <alignment horizontal="right" vertical="top"/>
    </xf>
    <xf numFmtId="164" fontId="0" fillId="12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9" borderId="1" xfId="0" applyNumberFormat="1" applyFill="1" applyBorder="1"/>
    <xf numFmtId="165" fontId="0" fillId="12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0" borderId="0" xfId="0" quotePrefix="1" applyFont="1" applyAlignment="1">
      <alignment vertical="center"/>
    </xf>
    <xf numFmtId="0" fontId="1" fillId="0" borderId="0" xfId="0" quotePrefix="1" applyFont="1"/>
    <xf numFmtId="0" fontId="5" fillId="0" borderId="0" xfId="0" quotePrefix="1" applyFont="1" applyAlignment="1">
      <alignment vertical="center" wrapText="1"/>
    </xf>
    <xf numFmtId="0" fontId="2" fillId="0" borderId="0" xfId="0" quotePrefix="1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0" fillId="6" borderId="11" xfId="0" applyFill="1" applyBorder="1"/>
    <xf numFmtId="0" fontId="0" fillId="6" borderId="7" xfId="0" applyFill="1" applyBorder="1" applyAlignment="1">
      <alignment horizontal="center"/>
    </xf>
    <xf numFmtId="0" fontId="0" fillId="12" borderId="0" xfId="0" applyFill="1"/>
    <xf numFmtId="0" fontId="0" fillId="6" borderId="0" xfId="0" applyFill="1" applyAlignment="1">
      <alignment horizontal="center"/>
    </xf>
    <xf numFmtId="0" fontId="3" fillId="0" borderId="0" xfId="0" quotePrefix="1" applyFont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0" borderId="0" xfId="0" applyFont="1" applyAlignment="1">
      <alignment vertical="center" wrapText="1"/>
    </xf>
    <xf numFmtId="0" fontId="0" fillId="0" borderId="0" xfId="0" applyFill="1"/>
    <xf numFmtId="0" fontId="0" fillId="6" borderId="12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7" fillId="6" borderId="0" xfId="0" applyFont="1" applyFill="1"/>
    <xf numFmtId="0" fontId="0" fillId="13" borderId="0" xfId="0" applyFill="1"/>
    <xf numFmtId="0" fontId="1" fillId="13" borderId="0" xfId="0" applyFont="1" applyFill="1"/>
    <xf numFmtId="0" fontId="0" fillId="13" borderId="0" xfId="0" applyFill="1" applyAlignment="1">
      <alignment horizontal="center"/>
    </xf>
    <xf numFmtId="0" fontId="1" fillId="11" borderId="0" xfId="0" applyFont="1" applyFill="1"/>
    <xf numFmtId="0" fontId="9" fillId="13" borderId="0" xfId="0" applyFont="1" applyFill="1"/>
    <xf numFmtId="0" fontId="10" fillId="13" borderId="0" xfId="0" applyFont="1" applyFill="1"/>
    <xf numFmtId="0" fontId="0" fillId="9" borderId="1" xfId="0" applyFill="1" applyBorder="1" applyAlignment="1">
      <alignment horizontal="left"/>
    </xf>
    <xf numFmtId="0" fontId="0" fillId="2" borderId="1" xfId="0" applyFill="1" applyBorder="1"/>
    <xf numFmtId="0" fontId="0" fillId="8" borderId="1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8" borderId="1" xfId="0" applyFill="1" applyBorder="1"/>
    <xf numFmtId="0" fontId="12" fillId="11" borderId="0" xfId="0" applyFont="1" applyFill="1" applyAlignment="1"/>
    <xf numFmtId="0" fontId="12" fillId="11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3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 wrapText="1"/>
    </xf>
    <xf numFmtId="0" fontId="0" fillId="2" borderId="3" xfId="0" applyFill="1" applyBorder="1"/>
    <xf numFmtId="0" fontId="0" fillId="2" borderId="9" xfId="0" applyFill="1" applyBorder="1"/>
    <xf numFmtId="0" fontId="12" fillId="11" borderId="0" xfId="0" quotePrefix="1" applyFont="1" applyFill="1" applyAlignment="1">
      <alignment vertical="top" wrapText="1"/>
    </xf>
    <xf numFmtId="0" fontId="12" fillId="11" borderId="0" xfId="0" applyFont="1" applyFill="1" applyAlignment="1">
      <alignment vertical="top" wrapText="1"/>
    </xf>
    <xf numFmtId="0" fontId="0" fillId="12" borderId="1" xfId="0" applyFill="1" applyBorder="1" applyAlignment="1">
      <alignment horizontal="left"/>
    </xf>
    <xf numFmtId="0" fontId="0" fillId="12" borderId="0" xfId="0" applyFill="1" applyBorder="1"/>
    <xf numFmtId="0" fontId="0" fillId="9" borderId="0" xfId="0" applyFill="1"/>
    <xf numFmtId="0" fontId="0" fillId="9" borderId="0" xfId="0" applyFill="1" applyBorder="1"/>
    <xf numFmtId="0" fontId="0" fillId="12" borderId="0" xfId="0" applyFill="1"/>
    <xf numFmtId="0" fontId="4" fillId="0" borderId="0" xfId="0" applyFont="1" applyAlignment="1">
      <alignment vertical="center" wrapText="1"/>
    </xf>
    <xf numFmtId="0" fontId="0" fillId="6" borderId="0" xfId="0" applyFill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0</xdr:row>
      <xdr:rowOff>123825</xdr:rowOff>
    </xdr:from>
    <xdr:to>
      <xdr:col>22</xdr:col>
      <xdr:colOff>494567</xdr:colOff>
      <xdr:row>1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5100" y="123825"/>
          <a:ext cx="1447067" cy="238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asexmachina.com/Games-Ultramodern4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0"/>
  <sheetViews>
    <sheetView zoomScaleNormal="100" workbookViewId="0">
      <selection activeCell="J19" sqref="J19:N19"/>
    </sheetView>
  </sheetViews>
  <sheetFormatPr defaultColWidth="7.42578125" defaultRowHeight="15" x14ac:dyDescent="0.25"/>
  <cols>
    <col min="1" max="1" width="15.85546875" bestFit="1" customWidth="1"/>
    <col min="2" max="2" width="2.28515625" customWidth="1"/>
    <col min="3" max="5" width="10.28515625" customWidth="1"/>
    <col min="6" max="6" width="1.85546875" customWidth="1"/>
    <col min="7" max="7" width="9.42578125" customWidth="1"/>
    <col min="8" max="14" width="7.7109375" customWidth="1"/>
    <col min="15" max="15" width="1.85546875" customWidth="1"/>
    <col min="16" max="16" width="8.42578125" customWidth="1"/>
  </cols>
  <sheetData>
    <row r="1" spans="1:23" x14ac:dyDescent="0.25">
      <c r="A1" s="24" t="s">
        <v>374</v>
      </c>
      <c r="B1" s="146" t="s">
        <v>676</v>
      </c>
      <c r="C1" s="146"/>
      <c r="D1" s="146"/>
      <c r="G1" s="24" t="s">
        <v>421</v>
      </c>
      <c r="H1" s="47"/>
      <c r="O1" s="26"/>
      <c r="T1" s="83" t="s">
        <v>373</v>
      </c>
    </row>
    <row r="2" spans="1:23" x14ac:dyDescent="0.25">
      <c r="A2" s="24" t="s">
        <v>372</v>
      </c>
      <c r="B2" s="146">
        <v>1</v>
      </c>
      <c r="C2" s="146"/>
      <c r="D2" s="146"/>
      <c r="G2" s="24" t="s">
        <v>423</v>
      </c>
      <c r="H2" s="47"/>
      <c r="J2" s="125"/>
      <c r="O2" s="26"/>
      <c r="P2" s="24"/>
      <c r="Q2" s="24"/>
      <c r="R2" s="43" t="s">
        <v>440</v>
      </c>
      <c r="S2" s="53">
        <f>6+SUM(Loadout!E6:E7)+T2</f>
        <v>6</v>
      </c>
      <c r="T2" s="47"/>
    </row>
    <row r="3" spans="1:23" x14ac:dyDescent="0.25">
      <c r="A3" s="24" t="s">
        <v>398</v>
      </c>
      <c r="B3" s="146" t="s">
        <v>402</v>
      </c>
      <c r="C3" s="146"/>
      <c r="D3" s="146"/>
      <c r="G3" s="24" t="s">
        <v>422</v>
      </c>
      <c r="H3" s="47"/>
      <c r="J3" s="125"/>
      <c r="O3" s="27"/>
      <c r="P3" s="24"/>
      <c r="Q3" s="24"/>
      <c r="R3" s="43" t="s">
        <v>455</v>
      </c>
      <c r="S3" s="53">
        <f>E15+T3</f>
        <v>0</v>
      </c>
      <c r="T3" s="47"/>
      <c r="V3" s="50" t="s">
        <v>490</v>
      </c>
    </row>
    <row r="4" spans="1:23" x14ac:dyDescent="0.25">
      <c r="A4" s="24" t="s">
        <v>399</v>
      </c>
      <c r="B4" s="146" t="s">
        <v>402</v>
      </c>
      <c r="C4" s="146"/>
      <c r="D4" s="146"/>
      <c r="G4" s="24" t="s">
        <v>424</v>
      </c>
      <c r="H4" s="47"/>
      <c r="J4" s="125"/>
      <c r="O4" s="27"/>
      <c r="P4" s="24"/>
      <c r="Q4" s="24"/>
      <c r="R4" s="43" t="s">
        <v>457</v>
      </c>
      <c r="S4" s="53">
        <f>10 +C33+T4</f>
        <v>10</v>
      </c>
      <c r="T4" s="47"/>
      <c r="V4" s="49" t="s">
        <v>491</v>
      </c>
    </row>
    <row r="5" spans="1:23" x14ac:dyDescent="0.25">
      <c r="A5" s="24" t="s">
        <v>441</v>
      </c>
      <c r="B5" s="146" t="s">
        <v>402</v>
      </c>
      <c r="C5" s="146"/>
      <c r="D5" s="146"/>
      <c r="G5" s="24"/>
      <c r="H5" s="68" t="s">
        <v>549</v>
      </c>
      <c r="I5" s="86" t="s">
        <v>548</v>
      </c>
      <c r="J5" s="126" t="s">
        <v>373</v>
      </c>
      <c r="K5" s="87" t="s">
        <v>588</v>
      </c>
      <c r="O5" s="27"/>
      <c r="P5" s="24"/>
      <c r="Q5" s="24"/>
      <c r="R5" s="43" t="s">
        <v>458</v>
      </c>
      <c r="S5" s="53">
        <f xml:space="preserve"> 10 +C31+T5</f>
        <v>10</v>
      </c>
      <c r="T5" s="52"/>
      <c r="V5" s="56" t="s">
        <v>545</v>
      </c>
    </row>
    <row r="6" spans="1:23" x14ac:dyDescent="0.25">
      <c r="A6" s="24" t="s">
        <v>442</v>
      </c>
      <c r="B6" s="146" t="s">
        <v>402</v>
      </c>
      <c r="C6" s="146"/>
      <c r="D6" s="146"/>
      <c r="G6" s="25" t="s">
        <v>546</v>
      </c>
      <c r="H6" s="47"/>
      <c r="I6" s="53">
        <f>VLOOKUP(B3,ClassDetail,2,FALSE) + C13 + (VLOOKUP(B3,ClassDetail,3,FALSE) *(B2-1))+J6</f>
        <v>10</v>
      </c>
      <c r="J6" s="28"/>
      <c r="K6" s="88" t="s">
        <v>589</v>
      </c>
      <c r="O6" s="27"/>
      <c r="P6" s="24"/>
      <c r="Q6" s="24"/>
      <c r="R6" s="43" t="s">
        <v>489</v>
      </c>
      <c r="S6" s="157"/>
      <c r="T6" s="158"/>
    </row>
    <row r="7" spans="1:23" x14ac:dyDescent="0.25">
      <c r="A7" s="24" t="s">
        <v>541</v>
      </c>
      <c r="B7" s="146" t="s">
        <v>492</v>
      </c>
      <c r="C7" s="146"/>
      <c r="D7" s="146"/>
      <c r="G7" s="25" t="s">
        <v>547</v>
      </c>
      <c r="H7" s="47"/>
      <c r="I7" s="53">
        <f>VLOOKUP(B3,ClassDetail,4,FALSE)+D13+J7</f>
        <v>0</v>
      </c>
      <c r="J7" s="28"/>
      <c r="K7" s="127">
        <f>ROUNDDOWN(I6/4,0)</f>
        <v>2</v>
      </c>
      <c r="O7" s="27"/>
      <c r="P7" s="24"/>
      <c r="Q7" s="24"/>
      <c r="R7" s="25"/>
      <c r="S7" s="159"/>
      <c r="T7" s="160"/>
    </row>
    <row r="8" spans="1:23" ht="7.5" customHeight="1" x14ac:dyDescent="0.25">
      <c r="J8" s="26"/>
      <c r="K8" s="26"/>
      <c r="L8" s="27"/>
      <c r="M8" s="27"/>
      <c r="N8" s="27"/>
      <c r="O8" s="27"/>
    </row>
    <row r="9" spans="1:23" x14ac:dyDescent="0.25">
      <c r="A9" s="24" t="s">
        <v>365</v>
      </c>
      <c r="B9" s="24"/>
      <c r="C9" s="68" t="s">
        <v>437</v>
      </c>
      <c r="D9" s="68" t="s">
        <v>426</v>
      </c>
      <c r="E9" s="68" t="s">
        <v>436</v>
      </c>
      <c r="F9" s="26"/>
      <c r="G9" s="24" t="s">
        <v>456</v>
      </c>
      <c r="H9" s="68" t="s">
        <v>434</v>
      </c>
      <c r="I9" s="68" t="s">
        <v>21</v>
      </c>
      <c r="J9" s="68" t="s">
        <v>431</v>
      </c>
      <c r="K9" s="68" t="s">
        <v>312</v>
      </c>
      <c r="L9" s="68" t="s">
        <v>358</v>
      </c>
      <c r="M9" s="68" t="s">
        <v>432</v>
      </c>
      <c r="N9" s="68" t="s">
        <v>433</v>
      </c>
      <c r="P9" s="32" t="s">
        <v>454</v>
      </c>
      <c r="Q9" s="24"/>
      <c r="R9" s="24"/>
      <c r="S9" s="24"/>
      <c r="T9" s="118" t="s">
        <v>453</v>
      </c>
      <c r="U9" s="117"/>
      <c r="V9" s="117"/>
      <c r="W9" s="117"/>
    </row>
    <row r="10" spans="1:23" x14ac:dyDescent="0.25">
      <c r="A10" s="43" t="s">
        <v>460</v>
      </c>
      <c r="B10" s="128" t="s">
        <v>425</v>
      </c>
      <c r="C10" s="30" t="s">
        <v>397</v>
      </c>
      <c r="D10" s="22" t="s">
        <v>373</v>
      </c>
      <c r="E10" s="30" t="s">
        <v>439</v>
      </c>
      <c r="F10" s="26"/>
      <c r="G10" s="46" t="s">
        <v>427</v>
      </c>
      <c r="H10" s="66">
        <f>10 +SUM(I10:N10)</f>
        <v>13</v>
      </c>
      <c r="I10" s="66">
        <f>ROUNDDOWN(($B$2/2),0)</f>
        <v>0</v>
      </c>
      <c r="J10" s="54">
        <v>0</v>
      </c>
      <c r="K10" s="66">
        <f>Loadout!C6</f>
        <v>3</v>
      </c>
      <c r="L10" s="66">
        <f>Loadout!C7</f>
        <v>0</v>
      </c>
      <c r="M10" s="47"/>
      <c r="N10" s="47"/>
      <c r="P10" s="149"/>
      <c r="Q10" s="150"/>
      <c r="R10" s="151"/>
      <c r="S10" s="152"/>
      <c r="T10" s="150"/>
      <c r="U10" s="151"/>
      <c r="V10" s="149"/>
      <c r="W10" s="150"/>
    </row>
    <row r="11" spans="1:23" x14ac:dyDescent="0.25">
      <c r="A11" s="24" t="s">
        <v>366</v>
      </c>
      <c r="B11" s="128"/>
      <c r="C11" s="47">
        <v>10</v>
      </c>
      <c r="D11" s="110">
        <f>ROUNDDOWN((C11/2),0)-5</f>
        <v>0</v>
      </c>
      <c r="E11" s="111">
        <f>D11+ROUNDDOWN(($B$2/2),0)</f>
        <v>0</v>
      </c>
      <c r="F11" s="26"/>
      <c r="G11" s="46" t="s">
        <v>429</v>
      </c>
      <c r="H11" s="66">
        <f t="shared" ref="H11:H13" si="0">10 +SUM(I11:N11)</f>
        <v>10</v>
      </c>
      <c r="I11" s="66">
        <f>ROUNDDOWN(($B$2/2),0)</f>
        <v>0</v>
      </c>
      <c r="J11" s="54">
        <f>MAX(D15,D20)</f>
        <v>0</v>
      </c>
      <c r="K11" s="47"/>
      <c r="L11" s="47"/>
      <c r="M11" s="47"/>
      <c r="N11" s="47"/>
      <c r="P11" s="153"/>
      <c r="Q11" s="154"/>
      <c r="R11" s="155"/>
      <c r="S11" s="156"/>
      <c r="T11" s="154"/>
      <c r="U11" s="155"/>
      <c r="V11" s="153"/>
      <c r="W11" s="154"/>
    </row>
    <row r="12" spans="1:23" x14ac:dyDescent="0.25">
      <c r="A12" s="44" t="s">
        <v>376</v>
      </c>
      <c r="B12" s="129"/>
      <c r="C12" s="66" t="s">
        <v>693</v>
      </c>
      <c r="D12" s="28"/>
      <c r="E12" s="31">
        <f>Loadout!$D$6+Loadout!$D$7</f>
        <v>0</v>
      </c>
      <c r="F12" s="26"/>
      <c r="G12" s="46" t="s">
        <v>428</v>
      </c>
      <c r="H12" s="66">
        <f t="shared" si="0"/>
        <v>10</v>
      </c>
      <c r="I12" s="66">
        <f>ROUNDDOWN(($B$2/2),0)</f>
        <v>0</v>
      </c>
      <c r="J12" s="54">
        <f>MAX(D11,D13)</f>
        <v>0</v>
      </c>
      <c r="K12" s="47"/>
      <c r="L12" s="47"/>
      <c r="M12" s="47"/>
      <c r="N12" s="47"/>
      <c r="P12" s="149"/>
      <c r="Q12" s="150"/>
      <c r="R12" s="151"/>
      <c r="S12" s="152"/>
      <c r="T12" s="150"/>
      <c r="U12" s="151"/>
      <c r="V12" s="149"/>
      <c r="W12" s="150"/>
    </row>
    <row r="13" spans="1:23" x14ac:dyDescent="0.25">
      <c r="A13" s="24" t="s">
        <v>367</v>
      </c>
      <c r="B13" s="128"/>
      <c r="C13" s="47">
        <v>10</v>
      </c>
      <c r="D13" s="110">
        <f>ROUNDDOWN((C13/2),0)-5</f>
        <v>0</v>
      </c>
      <c r="E13" s="111">
        <f>D13+ROUNDDOWN(($B$2/2),0)</f>
        <v>0</v>
      </c>
      <c r="F13" s="26"/>
      <c r="G13" s="46" t="s">
        <v>430</v>
      </c>
      <c r="H13" s="66">
        <f t="shared" si="0"/>
        <v>10</v>
      </c>
      <c r="I13" s="66">
        <f>ROUNDDOWN(($B$2/2),0)</f>
        <v>0</v>
      </c>
      <c r="J13" s="54">
        <f>MAX(D28,D34)</f>
        <v>0</v>
      </c>
      <c r="K13" s="47"/>
      <c r="L13" s="47"/>
      <c r="M13" s="47"/>
      <c r="N13" s="47"/>
      <c r="P13" s="153"/>
      <c r="Q13" s="154"/>
      <c r="R13" s="155"/>
      <c r="S13" s="156"/>
      <c r="T13" s="154"/>
      <c r="U13" s="155"/>
      <c r="V13" s="153"/>
      <c r="W13" s="154"/>
    </row>
    <row r="14" spans="1:23" ht="15" customHeight="1" x14ac:dyDescent="0.25">
      <c r="A14" s="44" t="s">
        <v>381</v>
      </c>
      <c r="B14" s="130"/>
      <c r="C14" s="66" t="s">
        <v>693</v>
      </c>
      <c r="D14" s="28"/>
      <c r="E14" s="66">
        <f>Loadout!$D$6+Loadout!$D$7</f>
        <v>0</v>
      </c>
      <c r="F14" s="26"/>
      <c r="G14" s="23"/>
      <c r="H14" s="23"/>
      <c r="J14" s="26"/>
      <c r="K14" s="26"/>
      <c r="L14" s="27"/>
      <c r="M14" s="27"/>
      <c r="N14" s="27"/>
      <c r="O14" s="27"/>
      <c r="P14" s="149"/>
      <c r="Q14" s="150"/>
      <c r="R14" s="151"/>
      <c r="S14" s="152"/>
      <c r="T14" s="150"/>
      <c r="U14" s="151"/>
      <c r="V14" s="149"/>
      <c r="W14" s="150"/>
    </row>
    <row r="15" spans="1:23" x14ac:dyDescent="0.25">
      <c r="A15" s="24" t="s">
        <v>368</v>
      </c>
      <c r="B15" s="128"/>
      <c r="C15" s="109">
        <v>10</v>
      </c>
      <c r="D15" s="110">
        <f>ROUNDDOWN((C15/2),0)-5</f>
        <v>0</v>
      </c>
      <c r="E15" s="110">
        <f>D15+ROUNDDOWN(($B$2/2),0)</f>
        <v>0</v>
      </c>
      <c r="F15" s="26"/>
      <c r="G15" s="24" t="s">
        <v>447</v>
      </c>
      <c r="H15" s="25"/>
      <c r="I15" s="24"/>
      <c r="J15" s="32" t="s">
        <v>179</v>
      </c>
      <c r="K15" s="32" t="s">
        <v>451</v>
      </c>
      <c r="L15" s="32" t="s">
        <v>373</v>
      </c>
      <c r="M15" s="32" t="s">
        <v>452</v>
      </c>
      <c r="N15" s="32" t="s">
        <v>181</v>
      </c>
      <c r="O15" s="27"/>
      <c r="P15" s="153"/>
      <c r="Q15" s="154"/>
      <c r="R15" s="155"/>
      <c r="S15" s="156"/>
      <c r="T15" s="154"/>
      <c r="U15" s="155"/>
      <c r="V15" s="153"/>
      <c r="W15" s="154"/>
    </row>
    <row r="16" spans="1:23" x14ac:dyDescent="0.25">
      <c r="A16" s="44" t="s">
        <v>375</v>
      </c>
      <c r="B16" s="130"/>
      <c r="C16" s="66">
        <f>IF(B16="",0,5)+D16+E16+$E$15</f>
        <v>0</v>
      </c>
      <c r="D16" s="28"/>
      <c r="E16" s="66">
        <f>Loadout!$D$6+Loadout!$D$7</f>
        <v>0</v>
      </c>
      <c r="F16" s="27"/>
      <c r="G16" s="24"/>
      <c r="H16" s="25"/>
      <c r="I16" s="24"/>
      <c r="J16" s="83" t="s">
        <v>575</v>
      </c>
      <c r="K16" s="83" t="s">
        <v>426</v>
      </c>
      <c r="L16" s="83" t="s">
        <v>373</v>
      </c>
      <c r="M16" s="83" t="s">
        <v>577</v>
      </c>
      <c r="N16" s="83" t="s">
        <v>576</v>
      </c>
      <c r="O16" s="27"/>
      <c r="P16" s="149"/>
      <c r="Q16" s="150"/>
      <c r="R16" s="151"/>
      <c r="S16" s="152"/>
      <c r="T16" s="150"/>
      <c r="U16" s="151"/>
      <c r="V16" s="149"/>
      <c r="W16" s="150"/>
    </row>
    <row r="17" spans="1:23" x14ac:dyDescent="0.25">
      <c r="A17" s="44" t="s">
        <v>389</v>
      </c>
      <c r="B17" s="130"/>
      <c r="C17" s="66">
        <f t="shared" ref="C17:C19" si="1">IF(B17="",0,5)+D17+E17+$E$15</f>
        <v>0</v>
      </c>
      <c r="D17" s="28"/>
      <c r="E17" s="66">
        <f>Loadout!$D$6+Loadout!$D$7</f>
        <v>0</v>
      </c>
      <c r="F17" s="26"/>
      <c r="G17" s="33" t="s">
        <v>448</v>
      </c>
      <c r="H17" s="34" t="str">
        <f>Loadout!B11</f>
        <v xml:space="preserve">Revolver </v>
      </c>
      <c r="I17" s="35"/>
      <c r="J17" s="66">
        <f>VLOOKUP(H17,LISTLOOKUP,2,FALSE)</f>
        <v>2</v>
      </c>
      <c r="K17" s="66">
        <f>VLOOKUP(H18,StatDetail,2,FALSE)</f>
        <v>0</v>
      </c>
      <c r="L17" s="47">
        <v>0</v>
      </c>
      <c r="M17" s="66">
        <f>IF(ISNUMBER(FIND("niper",VLOOKUP(H17,LISTLOOKUP,12,FALSE))),LEFT(J17,1) +K17+L17 &amp; "/" &amp; RIGHT(J17,1)+K17+L17,J17+K17+L17)</f>
        <v>2</v>
      </c>
      <c r="N17" s="66" t="str">
        <f>VLOOKUP(H17,LISTLOOKUP,4,FALSE)</f>
        <v xml:space="preserve">15/30 </v>
      </c>
      <c r="O17" s="27"/>
      <c r="P17" s="153"/>
      <c r="Q17" s="154"/>
      <c r="R17" s="155"/>
      <c r="S17" s="156"/>
      <c r="T17" s="154"/>
      <c r="U17" s="155"/>
      <c r="V17" s="153"/>
      <c r="W17" s="154"/>
    </row>
    <row r="18" spans="1:23" x14ac:dyDescent="0.25">
      <c r="A18" s="44" t="s">
        <v>391</v>
      </c>
      <c r="B18" s="130"/>
      <c r="C18" s="66">
        <f t="shared" si="1"/>
        <v>0</v>
      </c>
      <c r="D18" s="28"/>
      <c r="E18" s="66">
        <f>Loadout!$D$6+Loadout!$D$7</f>
        <v>0</v>
      </c>
      <c r="F18" s="26"/>
      <c r="G18" s="36" t="s">
        <v>449</v>
      </c>
      <c r="H18" s="28" t="s">
        <v>368</v>
      </c>
      <c r="I18" s="37"/>
      <c r="J18" s="66" t="str">
        <f>IF(M18=0,IF(VLOOKUP($H17,LISTLOOKUP,3,FALSE)=0,"",IF(ISERROR(FIND("+",VLOOKUP($H17,LISTLOOKUP,3,FALSE))),IF(ISERROR(INDEX(DamageStep,MATCH(TRIM(VLOOKUP($H17,LISTLOOKUP,3,FALSE)),DamageStep,0)+$N18)),VLOOKUP($H17,LISTLOOKUP,3,FALSE),INDEX(DamageStep,MATCH(TRIM(VLOOKUP($H17,LISTLOOKUP,3,FALSE)),DamageStep,0)+$N18)),IF(ISERROR(INDEX(DamageStep,MATCH(TRIM(MID(VLOOKUP($H17,LISTLOOKUP,3,FALSE),1,FIND("+",VLOOKUP($H17,LISTLOOKUP,3,FALSE))-1)),DamageStep,0)+$N18)),VLOOKUP($H17,LISTLOOKUP,3,FALSE),INDEX(DamageStep,MATCH(TRIM(MID(VLOOKUP($H17,LISTLOOKUP,3,FALSE),1,FIND("+",VLOOKUP($H17,LISTLOOKUP,3,FALSE))-1)),DamageStep,0)+$N18)))),M18)</f>
        <v>1d4</v>
      </c>
      <c r="K18" s="66">
        <f>IF(ISERROR(TRIM(MID(VLOOKUP($H17,LISTLOOKUP,3,FALSE),FIND("+",VLOOKUP($H17,LISTLOOKUP,3,FALSE))+1,2))),0,TRIM(MID(VLOOKUP($H17,LISTLOOKUP,3,FALSE),FIND("+",VLOOKUP($H17,LISTLOOKUP,3,FALSE))+1,2)))+$L18+VLOOKUP($H18,StatDetail,3,FALSE)</f>
        <v>0</v>
      </c>
      <c r="L18" s="47">
        <v>0</v>
      </c>
      <c r="M18" s="47"/>
      <c r="N18" s="66">
        <v>0</v>
      </c>
      <c r="O18" s="27"/>
      <c r="P18" s="149"/>
      <c r="Q18" s="150"/>
      <c r="R18" s="151"/>
      <c r="S18" s="152"/>
      <c r="T18" s="150"/>
      <c r="U18" s="151"/>
      <c r="V18" s="149"/>
      <c r="W18" s="150"/>
    </row>
    <row r="19" spans="1:23" x14ac:dyDescent="0.25">
      <c r="A19" s="44" t="s">
        <v>396</v>
      </c>
      <c r="B19" s="130"/>
      <c r="C19" s="66">
        <f t="shared" si="1"/>
        <v>0</v>
      </c>
      <c r="D19" s="28"/>
      <c r="E19" s="48"/>
      <c r="F19" s="26"/>
      <c r="H19" s="64"/>
      <c r="I19" s="69" t="s">
        <v>560</v>
      </c>
      <c r="J19" s="147" t="str">
        <f>VLOOKUP(H17,LISTLOOKUP,12,FALSE)</f>
        <v xml:space="preserve">Off-hand </v>
      </c>
      <c r="K19" s="147"/>
      <c r="L19" s="147"/>
      <c r="M19" s="147"/>
      <c r="N19" s="147"/>
      <c r="O19" s="27"/>
    </row>
    <row r="20" spans="1:23" x14ac:dyDescent="0.25">
      <c r="A20" s="24" t="s">
        <v>369</v>
      </c>
      <c r="B20" s="128"/>
      <c r="C20" s="47">
        <v>10</v>
      </c>
      <c r="D20" s="111">
        <f>ROUNDDOWN((C20/2),0)-5</f>
        <v>0</v>
      </c>
      <c r="E20" s="111">
        <f>D20+ROUNDDOWN(($B$2/2),0)</f>
        <v>0</v>
      </c>
      <c r="F20" s="26"/>
      <c r="G20" s="38" t="s">
        <v>448</v>
      </c>
      <c r="H20" s="39" t="str">
        <f>Loadout!B12</f>
        <v xml:space="preserve">Elite revolver </v>
      </c>
      <c r="I20" s="40"/>
      <c r="J20" s="67">
        <f>VLOOKUP(H20,LISTLOOKUP,2,FALSE)</f>
        <v>2</v>
      </c>
      <c r="K20" s="67">
        <f>VLOOKUP(H21,StatDetail,2,FALSE)</f>
        <v>0</v>
      </c>
      <c r="L20" s="47">
        <v>0</v>
      </c>
      <c r="M20" s="67">
        <f>IF(ISNUMBER(FIND("niper",VLOOKUP(H20,LISTLOOKUP,12,FALSE))),LEFT(J20,1) +K20+L20 &amp; "/" &amp; RIGHT(J20,1)+K20+L20,J20+K20+L20)</f>
        <v>2</v>
      </c>
      <c r="N20" s="67" t="str">
        <f>VLOOKUP(H20,LISTLOOKUP,4,FALSE)</f>
        <v xml:space="preserve">15/30 </v>
      </c>
      <c r="O20" s="27"/>
      <c r="P20" s="24" t="s">
        <v>582</v>
      </c>
      <c r="Q20" s="24"/>
      <c r="R20" s="24"/>
      <c r="S20" s="24"/>
      <c r="T20" s="24"/>
      <c r="U20" s="24"/>
      <c r="V20" s="24"/>
      <c r="W20" s="24"/>
    </row>
    <row r="21" spans="1:23" x14ac:dyDescent="0.25">
      <c r="A21" s="44" t="s">
        <v>377</v>
      </c>
      <c r="B21" s="130"/>
      <c r="C21" s="66">
        <f>IF(B21="",0,5)+D21+E21+$E$20</f>
        <v>0</v>
      </c>
      <c r="D21" s="47"/>
      <c r="E21" s="48"/>
      <c r="F21" s="27"/>
      <c r="G21" s="41" t="s">
        <v>449</v>
      </c>
      <c r="H21" s="28" t="s">
        <v>368</v>
      </c>
      <c r="I21" s="42"/>
      <c r="J21" s="122" t="str">
        <f>IF(M21=0,IF(VLOOKUP($H20,LISTLOOKUP,3,FALSE)=0,"",IF(ISERROR(FIND("+",VLOOKUP($H20,LISTLOOKUP,3,FALSE))),IF(ISERROR(INDEX(DamageStep,MATCH(TRIM(VLOOKUP($H20,LISTLOOKUP,3,FALSE)),DamageStep,0)+$N21)),VLOOKUP($H20,LISTLOOKUP,3,FALSE),INDEX(DamageStep,MATCH(TRIM(VLOOKUP($H20,LISTLOOKUP,3,FALSE)),DamageStep,0)+$N21)),IF(ISERROR(INDEX(DamageStep,MATCH(TRIM(MID(VLOOKUP($H20,LISTLOOKUP,3,FALSE),1,FIND("+",VLOOKUP($H20,LISTLOOKUP,3,FALSE))-1)),DamageStep,0)+$N21)),VLOOKUP($H20,LISTLOOKUP,3,FALSE),INDEX(DamageStep,MATCH(TRIM(MID(VLOOKUP($H20,LISTLOOKUP,3,FALSE),1,FIND("+",VLOOKUP($H20,LISTLOOKUP,3,FALSE))-1)),DamageStep,0)+$N21)))),M21)</f>
        <v>1d8</v>
      </c>
      <c r="K21" s="90">
        <f>IF(ISERROR(TRIM(MID(VLOOKUP($H20,LISTLOOKUP,3,FALSE),FIND("+",VLOOKUP($H20,LISTLOOKUP,3,FALSE))+1,2))),0,TRIM(MID(VLOOKUP($H20,LISTLOOKUP,3,FALSE),FIND("+",VLOOKUP($H20,LISTLOOKUP,3,FALSE))+1,2)))+$L21+VLOOKUP($H21,StatDetail,3,FALSE)</f>
        <v>0</v>
      </c>
      <c r="L21" s="47">
        <v>0</v>
      </c>
      <c r="M21" s="47"/>
      <c r="N21" s="67">
        <v>0</v>
      </c>
      <c r="O21" s="27"/>
      <c r="P21" s="141"/>
      <c r="Q21" s="141"/>
      <c r="R21" s="141"/>
      <c r="S21" s="141"/>
      <c r="T21" s="141"/>
      <c r="U21" s="141"/>
      <c r="V21" s="141"/>
      <c r="W21" s="141"/>
    </row>
    <row r="22" spans="1:23" x14ac:dyDescent="0.25">
      <c r="A22" s="44" t="s">
        <v>392</v>
      </c>
      <c r="B22" s="130"/>
      <c r="C22" s="66">
        <f t="shared" ref="C22:C27" si="2">IF(B22="",0,5)+D22+E22+$E$20</f>
        <v>0</v>
      </c>
      <c r="D22" s="47"/>
      <c r="E22" s="48"/>
      <c r="F22" s="26"/>
      <c r="H22" s="65"/>
      <c r="I22" s="71" t="s">
        <v>560</v>
      </c>
      <c r="J22" s="148">
        <f>VLOOKUP(H20,LISTLOOKUP,12,FALSE)</f>
        <v>0</v>
      </c>
      <c r="K22" s="148"/>
      <c r="L22" s="148"/>
      <c r="M22" s="148"/>
      <c r="N22" s="148"/>
      <c r="O22" s="27"/>
      <c r="P22" s="142"/>
      <c r="Q22" s="142"/>
      <c r="R22" s="142"/>
      <c r="S22" s="142"/>
      <c r="T22" s="142"/>
      <c r="U22" s="142"/>
      <c r="V22" s="142"/>
      <c r="W22" s="142"/>
    </row>
    <row r="23" spans="1:23" x14ac:dyDescent="0.25">
      <c r="A23" s="44" t="s">
        <v>393</v>
      </c>
      <c r="B23" s="130"/>
      <c r="C23" s="66">
        <f t="shared" si="2"/>
        <v>0</v>
      </c>
      <c r="D23" s="47"/>
      <c r="E23" s="48"/>
      <c r="F23" s="26"/>
      <c r="G23" s="33" t="s">
        <v>448</v>
      </c>
      <c r="H23" s="34" t="str">
        <f>Loadout!B13</f>
        <v>SELECT</v>
      </c>
      <c r="I23" s="35"/>
      <c r="J23" s="66">
        <f>VLOOKUP(H23,LISTLOOKUP,2,FALSE)</f>
        <v>0</v>
      </c>
      <c r="K23" s="66">
        <f>VLOOKUP(H24,StatDetail,2,FALSE)</f>
        <v>0</v>
      </c>
      <c r="L23" s="47">
        <v>0</v>
      </c>
      <c r="M23" s="66">
        <f>IF(ISNUMBER(FIND("niper",VLOOKUP(H23,LISTLOOKUP,12,FALSE))),LEFT(J23,1) +K23+L23 &amp; "/" &amp; RIGHT(J23,1)+K23+L23,J23+K23+L23)</f>
        <v>0</v>
      </c>
      <c r="N23" s="66">
        <f>VLOOKUP(H23,LISTLOOKUP,4,FALSE)</f>
        <v>0</v>
      </c>
      <c r="O23" s="27"/>
      <c r="P23" s="141"/>
      <c r="Q23" s="141"/>
      <c r="R23" s="141"/>
      <c r="S23" s="141"/>
      <c r="T23" s="141"/>
      <c r="U23" s="141"/>
      <c r="V23" s="141"/>
      <c r="W23" s="141"/>
    </row>
    <row r="24" spans="1:23" x14ac:dyDescent="0.25">
      <c r="A24" s="44" t="s">
        <v>394</v>
      </c>
      <c r="B24" s="130"/>
      <c r="C24" s="66">
        <f t="shared" si="2"/>
        <v>0</v>
      </c>
      <c r="D24" s="47"/>
      <c r="E24" s="48"/>
      <c r="F24" s="26"/>
      <c r="G24" s="36" t="s">
        <v>449</v>
      </c>
      <c r="H24" s="28" t="s">
        <v>368</v>
      </c>
      <c r="I24" s="37"/>
      <c r="J24" s="123" t="str">
        <f>IF(M24=0,IF(VLOOKUP($H23,LISTLOOKUP,3,FALSE)=0,"",IF(ISERROR(FIND("+",VLOOKUP($H23,LISTLOOKUP,3,FALSE))),IF(ISERROR(INDEX(DamageStep,MATCH(TRIM(VLOOKUP($H23,LISTLOOKUP,3,FALSE)),DamageStep,0)+$N24)),VLOOKUP($H23,LISTLOOKUP,3,FALSE),INDEX(DamageStep,MATCH(TRIM(VLOOKUP($H23,LISTLOOKUP,3,FALSE)),DamageStep,0)+$N24)),IF(ISERROR(INDEX(DamageStep,MATCH(TRIM(MID(VLOOKUP($H23,LISTLOOKUP,3,FALSE),1,FIND("+",VLOOKUP($H23,LISTLOOKUP,3,FALSE))-1)),DamageStep,0)+$N24)),VLOOKUP($H23,LISTLOOKUP,3,FALSE),INDEX(DamageStep,MATCH(TRIM(MID(VLOOKUP($H23,LISTLOOKUP,3,FALSE),1,FIND("+",VLOOKUP($H23,LISTLOOKUP,3,FALSE))-1)),DamageStep,0)+$N24)))),M24)</f>
        <v/>
      </c>
      <c r="K24" s="91">
        <f>IF(ISERROR(TRIM(MID(VLOOKUP($H23,LISTLOOKUP,3,FALSE),FIND("+",VLOOKUP($H23,LISTLOOKUP,3,FALSE))+1,2))),0,TRIM(MID(VLOOKUP($H23,LISTLOOKUP,3,FALSE),FIND("+",VLOOKUP($H23,LISTLOOKUP,3,FALSE))+1,2)))+$L24+VLOOKUP($H24,StatDetail,3,FALSE)</f>
        <v>0</v>
      </c>
      <c r="L24" s="47">
        <v>0</v>
      </c>
      <c r="M24" s="47"/>
      <c r="N24" s="66">
        <v>0</v>
      </c>
      <c r="O24" s="27"/>
      <c r="P24" s="142"/>
      <c r="Q24" s="142"/>
      <c r="R24" s="142"/>
      <c r="S24" s="142"/>
      <c r="T24" s="142"/>
      <c r="U24" s="142"/>
      <c r="V24" s="142"/>
      <c r="W24" s="142"/>
    </row>
    <row r="25" spans="1:23" x14ac:dyDescent="0.25">
      <c r="A25" s="44" t="s">
        <v>383</v>
      </c>
      <c r="B25" s="130"/>
      <c r="C25" s="66">
        <f t="shared" si="2"/>
        <v>0</v>
      </c>
      <c r="D25" s="47"/>
      <c r="E25" s="48"/>
      <c r="F25" s="26"/>
      <c r="H25" s="64"/>
      <c r="I25" s="69" t="s">
        <v>560</v>
      </c>
      <c r="J25" s="147">
        <f>VLOOKUP(H23,LISTLOOKUP,12,FALSE)</f>
        <v>0</v>
      </c>
      <c r="K25" s="147"/>
      <c r="L25" s="147"/>
      <c r="M25" s="147"/>
      <c r="N25" s="147"/>
      <c r="O25" s="27"/>
      <c r="P25" s="141"/>
      <c r="Q25" s="141"/>
      <c r="R25" s="141"/>
      <c r="S25" s="141"/>
      <c r="T25" s="141"/>
      <c r="U25" s="141"/>
      <c r="V25" s="141"/>
      <c r="W25" s="141"/>
    </row>
    <row r="26" spans="1:23" x14ac:dyDescent="0.25">
      <c r="A26" s="44" t="s">
        <v>388</v>
      </c>
      <c r="B26" s="130"/>
      <c r="C26" s="66">
        <f t="shared" si="2"/>
        <v>0</v>
      </c>
      <c r="D26" s="47"/>
      <c r="E26" s="48"/>
      <c r="F26" s="26"/>
      <c r="G26" s="38" t="s">
        <v>448</v>
      </c>
      <c r="H26" s="39" t="str">
        <f>Loadout!B14</f>
        <v>SELECT</v>
      </c>
      <c r="I26" s="40"/>
      <c r="J26" s="67">
        <f>VLOOKUP(H26,LISTLOOKUP,2,FALSE)</f>
        <v>0</v>
      </c>
      <c r="K26" s="67">
        <f>VLOOKUP(H27,StatDetail,2,FALSE)</f>
        <v>0</v>
      </c>
      <c r="L26" s="47">
        <v>0</v>
      </c>
      <c r="M26" s="67">
        <f>IF(ISNUMBER(FIND("niper",VLOOKUP(H26,LISTLOOKUP,12,FALSE))),LEFT(J26,1) +K26+L26 &amp; "/" &amp; RIGHT(J26,1)+K26+L26,J26+K26+L26)</f>
        <v>0</v>
      </c>
      <c r="N26" s="67">
        <f>VLOOKUP(H26,LISTLOOKUP,4,FALSE)</f>
        <v>0</v>
      </c>
      <c r="O26" s="27"/>
      <c r="P26" s="142"/>
      <c r="Q26" s="142"/>
      <c r="R26" s="142"/>
      <c r="S26" s="142"/>
      <c r="T26" s="142"/>
      <c r="U26" s="142"/>
      <c r="V26" s="142"/>
      <c r="W26" s="142"/>
    </row>
    <row r="27" spans="1:23" x14ac:dyDescent="0.25">
      <c r="A27" s="44" t="s">
        <v>395</v>
      </c>
      <c r="B27" s="130"/>
      <c r="C27" s="66">
        <f t="shared" si="2"/>
        <v>0</v>
      </c>
      <c r="D27" s="47"/>
      <c r="E27" s="48"/>
      <c r="F27" s="26"/>
      <c r="G27" s="41" t="s">
        <v>449</v>
      </c>
      <c r="H27" s="28" t="s">
        <v>368</v>
      </c>
      <c r="I27" s="42"/>
      <c r="J27" s="122" t="str">
        <f>IF(M27=0,IF(VLOOKUP($H26,LISTLOOKUP,3,FALSE)=0,"",IF(ISERROR(FIND("+",VLOOKUP($H26,LISTLOOKUP,3,FALSE))),IF(ISERROR(INDEX(DamageStep,MATCH(TRIM(VLOOKUP($H26,LISTLOOKUP,3,FALSE)),DamageStep,0)+$N27)),VLOOKUP($H26,LISTLOOKUP,3,FALSE),INDEX(DamageStep,MATCH(TRIM(VLOOKUP($H26,LISTLOOKUP,3,FALSE)),DamageStep,0)+$N27)),IF(ISERROR(INDEX(DamageStep,MATCH(TRIM(MID(VLOOKUP($H26,LISTLOOKUP,3,FALSE),1,FIND("+",VLOOKUP($H26,LISTLOOKUP,3,FALSE))-1)),DamageStep,0)+$N27)),VLOOKUP($H26,LISTLOOKUP,3,FALSE),INDEX(DamageStep,MATCH(TRIM(MID(VLOOKUP($H26,LISTLOOKUP,3,FALSE),1,FIND("+",VLOOKUP($H26,LISTLOOKUP,3,FALSE))-1)),DamageStep,0)+$N27)))),M27)</f>
        <v/>
      </c>
      <c r="K27" s="90">
        <f>IF(ISERROR(TRIM(MID(VLOOKUP($H26,LISTLOOKUP,3,FALSE),FIND("+",VLOOKUP($H26,LISTLOOKUP,3,FALSE))+1,2))),0,TRIM(MID(VLOOKUP($H26,LISTLOOKUP,3,FALSE),FIND("+",VLOOKUP($H26,LISTLOOKUP,3,FALSE))+1,2)))+$L27+VLOOKUP($H27,StatDetail,3,FALSE)</f>
        <v>0</v>
      </c>
      <c r="L27" s="47">
        <v>0</v>
      </c>
      <c r="M27" s="47"/>
      <c r="N27" s="67">
        <v>0</v>
      </c>
      <c r="P27" s="143"/>
      <c r="Q27" s="143"/>
      <c r="R27" s="143"/>
      <c r="S27" s="143"/>
      <c r="T27" s="143"/>
      <c r="U27" s="143"/>
      <c r="V27" s="143"/>
      <c r="W27" s="143"/>
    </row>
    <row r="28" spans="1:23" x14ac:dyDescent="0.25">
      <c r="A28" s="24" t="s">
        <v>370</v>
      </c>
      <c r="B28" s="128"/>
      <c r="C28" s="47">
        <v>10</v>
      </c>
      <c r="D28" s="111">
        <f>ROUNDDOWN((C28/2),0)-5</f>
        <v>0</v>
      </c>
      <c r="E28" s="111">
        <f>D28+ROUNDDOWN(($B$2/2),0)</f>
        <v>0</v>
      </c>
      <c r="F28" s="26"/>
      <c r="H28" s="65"/>
      <c r="I28" s="71" t="s">
        <v>560</v>
      </c>
      <c r="J28" s="148">
        <f>VLOOKUP(H26,LISTLOOKUP,12,FALSE)</f>
        <v>0</v>
      </c>
      <c r="K28" s="148"/>
      <c r="L28" s="148"/>
      <c r="M28" s="148"/>
      <c r="N28" s="148"/>
      <c r="P28" s="140"/>
      <c r="Q28" s="140"/>
      <c r="R28" s="140"/>
      <c r="S28" s="140"/>
      <c r="T28" s="140"/>
      <c r="U28" s="140"/>
      <c r="V28" s="140"/>
      <c r="W28" s="140"/>
    </row>
    <row r="29" spans="1:23" x14ac:dyDescent="0.25">
      <c r="A29" s="44" t="s">
        <v>380</v>
      </c>
      <c r="B29" s="130"/>
      <c r="C29" s="66">
        <f>IF(B29="",0,5)+D29+E29+$E$28</f>
        <v>0</v>
      </c>
      <c r="D29" s="47"/>
      <c r="E29" s="48"/>
      <c r="F29" s="26"/>
      <c r="G29" s="33" t="s">
        <v>448</v>
      </c>
      <c r="H29" s="34" t="str">
        <f>Loadout!B15</f>
        <v>SELECT</v>
      </c>
      <c r="I29" s="35"/>
      <c r="J29" s="66">
        <f>VLOOKUP(H29,LISTLOOKUP,2,FALSE)</f>
        <v>0</v>
      </c>
      <c r="K29" s="66">
        <f>VLOOKUP(H30,StatDetail,2,FALSE)</f>
        <v>0</v>
      </c>
      <c r="L29" s="47">
        <v>0</v>
      </c>
      <c r="M29" s="66">
        <f>IF(ISNUMBER(FIND("niper",VLOOKUP(H29,LISTLOOKUP,12,FALSE))),LEFT(J29,1) +K29+L29 &amp; "/" &amp; RIGHT(J29,1)+K29+L29,J29+K29+L29)</f>
        <v>0</v>
      </c>
      <c r="N29" s="66">
        <f>VLOOKUP(H29,LISTLOOKUP,4,FALSE)</f>
        <v>0</v>
      </c>
      <c r="P29" s="143"/>
      <c r="Q29" s="143"/>
      <c r="R29" s="143"/>
      <c r="S29" s="143"/>
      <c r="T29" s="143"/>
      <c r="U29" s="143"/>
      <c r="V29" s="143"/>
      <c r="W29" s="143"/>
    </row>
    <row r="30" spans="1:23" x14ac:dyDescent="0.25">
      <c r="A30" s="44" t="s">
        <v>382</v>
      </c>
      <c r="B30" s="130"/>
      <c r="C30" s="66">
        <f t="shared" ref="C30:C33" si="3">IF(B30="",0,5)+D30+E30+$E$28</f>
        <v>0</v>
      </c>
      <c r="D30" s="47"/>
      <c r="E30" s="48"/>
      <c r="F30" s="26"/>
      <c r="G30" s="36" t="s">
        <v>449</v>
      </c>
      <c r="H30" s="28" t="s">
        <v>368</v>
      </c>
      <c r="I30" s="37"/>
      <c r="J30" s="123" t="str">
        <f>IF(M30=0,IF(VLOOKUP($H29,LISTLOOKUP,3,FALSE)=0,"",IF(ISERROR(FIND("+",VLOOKUP($H29,LISTLOOKUP,3,FALSE))),IF(ISERROR(INDEX(DamageStep,MATCH(TRIM(VLOOKUP($H29,LISTLOOKUP,3,FALSE)),DamageStep,0)+$N30)),VLOOKUP($H29,LISTLOOKUP,3,FALSE),INDEX(DamageStep,MATCH(TRIM(VLOOKUP($H29,LISTLOOKUP,3,FALSE)),DamageStep,0)+$N30)),IF(ISERROR(INDEX(DamageStep,MATCH(TRIM(MID(VLOOKUP($H29,LISTLOOKUP,3,FALSE),1,FIND("+",VLOOKUP($H29,LISTLOOKUP,3,FALSE))-1)),DamageStep,0)+$N30)),VLOOKUP($H29,LISTLOOKUP,3,FALSE),INDEX(DamageStep,MATCH(TRIM(MID(VLOOKUP($H29,LISTLOOKUP,3,FALSE),1,FIND("+",VLOOKUP($H29,LISTLOOKUP,3,FALSE))-1)),DamageStep,0)+$N30)))),M30)</f>
        <v/>
      </c>
      <c r="K30" s="91">
        <f>IF(ISERROR(TRIM(MID(VLOOKUP($H29,LISTLOOKUP,3,FALSE),FIND("+",VLOOKUP($H29,LISTLOOKUP,3,FALSE))+1,2))),0,TRIM(MID(VLOOKUP($H29,LISTLOOKUP,3,FALSE),FIND("+",VLOOKUP($H29,LISTLOOKUP,3,FALSE))+1,2)))+$L30+VLOOKUP($H30,StatDetail,3,FALSE)</f>
        <v>0</v>
      </c>
      <c r="L30" s="47">
        <v>0</v>
      </c>
      <c r="M30" s="47"/>
      <c r="N30" s="66">
        <v>0</v>
      </c>
      <c r="P30" s="140"/>
      <c r="Q30" s="140"/>
      <c r="R30" s="140"/>
      <c r="S30" s="140"/>
      <c r="T30" s="140"/>
      <c r="U30" s="140"/>
      <c r="V30" s="140"/>
      <c r="W30" s="140"/>
    </row>
    <row r="31" spans="1:23" x14ac:dyDescent="0.25">
      <c r="A31" s="44" t="s">
        <v>384</v>
      </c>
      <c r="B31" s="130"/>
      <c r="C31" s="66">
        <f t="shared" si="3"/>
        <v>0</v>
      </c>
      <c r="D31" s="47"/>
      <c r="E31" s="48"/>
      <c r="F31" s="26"/>
      <c r="H31" s="64"/>
      <c r="I31" s="69" t="s">
        <v>560</v>
      </c>
      <c r="J31" s="147">
        <f>VLOOKUP(H29,LISTLOOKUP,12,FALSE)</f>
        <v>0</v>
      </c>
      <c r="K31" s="147"/>
      <c r="L31" s="147"/>
      <c r="M31" s="147"/>
      <c r="N31" s="147"/>
      <c r="P31" s="141"/>
      <c r="Q31" s="141"/>
      <c r="R31" s="141"/>
      <c r="S31" s="141"/>
      <c r="T31" s="141"/>
      <c r="U31" s="141"/>
      <c r="V31" s="141"/>
      <c r="W31" s="141"/>
    </row>
    <row r="32" spans="1:23" x14ac:dyDescent="0.25">
      <c r="A32" s="44" t="s">
        <v>386</v>
      </c>
      <c r="B32" s="130"/>
      <c r="C32" s="66">
        <f t="shared" si="3"/>
        <v>0</v>
      </c>
      <c r="D32" s="47"/>
      <c r="E32" s="48"/>
      <c r="F32" s="26"/>
      <c r="G32" s="38" t="s">
        <v>448</v>
      </c>
      <c r="H32" s="39" t="str">
        <f>Loadout!B16</f>
        <v>SELECT</v>
      </c>
      <c r="I32" s="40"/>
      <c r="J32" s="67">
        <f>VLOOKUP(H32,LISTLOOKUP,2,FALSE)</f>
        <v>0</v>
      </c>
      <c r="K32" s="67">
        <f>VLOOKUP(H33,StatDetail,2,FALSE)</f>
        <v>0</v>
      </c>
      <c r="L32" s="47">
        <v>0</v>
      </c>
      <c r="M32" s="67">
        <f>IF(ISNUMBER(FIND("niper",VLOOKUP(H32,LISTLOOKUP,12,FALSE))),LEFT(J32,1) +K32+L32 &amp; "/" &amp; RIGHT(J32,1)+K32+L32,J32+K32+L32)</f>
        <v>0</v>
      </c>
      <c r="N32" s="67">
        <f>VLOOKUP(H32,LISTLOOKUP,4,FALSE)</f>
        <v>0</v>
      </c>
      <c r="P32" s="142"/>
      <c r="Q32" s="142"/>
      <c r="R32" s="142"/>
      <c r="S32" s="142"/>
      <c r="T32" s="142"/>
      <c r="U32" s="142"/>
      <c r="V32" s="142"/>
      <c r="W32" s="142"/>
    </row>
    <row r="33" spans="1:23" x14ac:dyDescent="0.25">
      <c r="A33" s="44" t="s">
        <v>387</v>
      </c>
      <c r="B33" s="130"/>
      <c r="C33" s="66">
        <f t="shared" si="3"/>
        <v>0</v>
      </c>
      <c r="D33" s="47"/>
      <c r="E33" s="48"/>
      <c r="F33" s="26"/>
      <c r="G33" s="41" t="s">
        <v>449</v>
      </c>
      <c r="H33" s="28" t="s">
        <v>368</v>
      </c>
      <c r="I33" s="42"/>
      <c r="J33" s="122" t="str">
        <f>IF(M33=0,IF(VLOOKUP($H32,LISTLOOKUP,3,FALSE)=0,"",IF(ISERROR(FIND("+",VLOOKUP($H32,LISTLOOKUP,3,FALSE))),IF(ISERROR(INDEX(DamageStep,MATCH(TRIM(VLOOKUP($H32,LISTLOOKUP,3,FALSE)),DamageStep,0)+$N33)),VLOOKUP($H32,LISTLOOKUP,3,FALSE),INDEX(DamageStep,MATCH(TRIM(VLOOKUP($H32,LISTLOOKUP,3,FALSE)),DamageStep,0)+$N33)),IF(ISERROR(INDEX(DamageStep,MATCH(TRIM(MID(VLOOKUP($H32,LISTLOOKUP,3,FALSE),1,FIND("+",VLOOKUP($H32,LISTLOOKUP,3,FALSE))-1)),DamageStep,0)+$N33)),VLOOKUP($H32,LISTLOOKUP,3,FALSE),INDEX(DamageStep,MATCH(TRIM(MID(VLOOKUP($H32,LISTLOOKUP,3,FALSE),1,FIND("+",VLOOKUP($H32,LISTLOOKUP,3,FALSE))-1)),DamageStep,0)+$N33)))),M33)</f>
        <v/>
      </c>
      <c r="K33" s="90">
        <f>IF(ISERROR(TRIM(MID(VLOOKUP($H32,LISTLOOKUP,3,FALSE),FIND("+",VLOOKUP($H32,LISTLOOKUP,3,FALSE))+1,2))),0,TRIM(MID(VLOOKUP($H32,LISTLOOKUP,3,FALSE),FIND("+",VLOOKUP($H32,LISTLOOKUP,3,FALSE))+1,2)))+$L33+VLOOKUP($H33,StatDetail,3,FALSE)</f>
        <v>0</v>
      </c>
      <c r="L33" s="47">
        <v>0</v>
      </c>
      <c r="M33" s="47"/>
      <c r="N33" s="67">
        <v>0</v>
      </c>
      <c r="P33" s="143"/>
      <c r="Q33" s="143"/>
      <c r="R33" s="143"/>
      <c r="S33" s="143"/>
      <c r="T33" s="143"/>
      <c r="U33" s="143"/>
      <c r="V33" s="143"/>
      <c r="W33" s="143"/>
    </row>
    <row r="34" spans="1:23" x14ac:dyDescent="0.25">
      <c r="A34" s="24" t="s">
        <v>371</v>
      </c>
      <c r="B34" s="128"/>
      <c r="C34" s="47">
        <v>10</v>
      </c>
      <c r="D34" s="111">
        <f>ROUNDDOWN((C34/2),0)-5</f>
        <v>0</v>
      </c>
      <c r="E34" s="111">
        <f>D34+ROUNDDOWN(($B$2/2),0)</f>
        <v>0</v>
      </c>
      <c r="F34" s="26"/>
      <c r="H34" s="65"/>
      <c r="I34" s="71" t="s">
        <v>560</v>
      </c>
      <c r="J34" s="148">
        <f>VLOOKUP(H32,LISTLOOKUP,12,FALSE)</f>
        <v>0</v>
      </c>
      <c r="K34" s="148"/>
      <c r="L34" s="148"/>
      <c r="M34" s="148"/>
      <c r="N34" s="148"/>
      <c r="P34" s="140"/>
      <c r="Q34" s="140"/>
      <c r="R34" s="140"/>
      <c r="S34" s="140"/>
      <c r="T34" s="140"/>
      <c r="U34" s="140"/>
      <c r="V34" s="140"/>
      <c r="W34" s="140"/>
    </row>
    <row r="35" spans="1:23" x14ac:dyDescent="0.25">
      <c r="A35" s="44" t="s">
        <v>378</v>
      </c>
      <c r="B35" s="130"/>
      <c r="C35" s="66">
        <f>IF(B35="",0,5)+D35+E35+$E$34</f>
        <v>0</v>
      </c>
      <c r="D35" s="47"/>
      <c r="E35" s="48"/>
      <c r="F35" s="23"/>
      <c r="P35" s="143"/>
      <c r="Q35" s="143"/>
      <c r="R35" s="143"/>
      <c r="S35" s="143"/>
      <c r="T35" s="143"/>
      <c r="U35" s="143"/>
      <c r="V35" s="143"/>
      <c r="W35" s="143"/>
    </row>
    <row r="36" spans="1:23" x14ac:dyDescent="0.25">
      <c r="A36" s="44" t="s">
        <v>379</v>
      </c>
      <c r="B36" s="130"/>
      <c r="C36" s="66">
        <f t="shared" ref="C36:C38" si="4">IF(B36="",0,5)+D36+E36+$E$34</f>
        <v>0</v>
      </c>
      <c r="D36" s="47"/>
      <c r="E36" s="48"/>
      <c r="F36" s="23"/>
      <c r="G36" s="97" t="s">
        <v>583</v>
      </c>
      <c r="H36" s="97"/>
      <c r="I36" s="97"/>
      <c r="J36" s="97"/>
      <c r="K36" s="98"/>
      <c r="L36" s="24"/>
      <c r="M36" s="24"/>
      <c r="N36" s="98" t="s">
        <v>584</v>
      </c>
      <c r="P36" s="140"/>
      <c r="Q36" s="140"/>
      <c r="R36" s="140"/>
      <c r="S36" s="140"/>
      <c r="T36" s="140"/>
      <c r="U36" s="140"/>
      <c r="V36" s="140"/>
      <c r="W36" s="140"/>
    </row>
    <row r="37" spans="1:23" x14ac:dyDescent="0.25">
      <c r="A37" s="44" t="s">
        <v>385</v>
      </c>
      <c r="B37" s="130"/>
      <c r="C37" s="66">
        <f t="shared" si="4"/>
        <v>0</v>
      </c>
      <c r="D37" s="47"/>
      <c r="E37" s="48"/>
      <c r="F37" s="23"/>
      <c r="G37" s="144" t="s">
        <v>593</v>
      </c>
      <c r="H37" s="144"/>
      <c r="I37" s="144"/>
      <c r="J37" s="144"/>
      <c r="K37" s="144"/>
      <c r="L37" s="144"/>
      <c r="M37" s="144"/>
      <c r="N37" s="144"/>
    </row>
    <row r="38" spans="1:23" ht="15" customHeight="1" x14ac:dyDescent="0.25">
      <c r="A38" s="44" t="s">
        <v>390</v>
      </c>
      <c r="B38" s="131"/>
      <c r="C38" s="66">
        <f t="shared" si="4"/>
        <v>0</v>
      </c>
      <c r="D38" s="47"/>
      <c r="E38" s="48"/>
      <c r="G38" s="97" t="s">
        <v>585</v>
      </c>
      <c r="H38" s="97"/>
      <c r="I38" s="97"/>
      <c r="J38" s="97"/>
      <c r="K38" s="24"/>
      <c r="L38" s="24"/>
      <c r="M38" s="24"/>
      <c r="N38" s="98" t="s">
        <v>586</v>
      </c>
      <c r="P38" s="132" t="s">
        <v>680</v>
      </c>
      <c r="Q38" s="132"/>
      <c r="R38" s="132"/>
      <c r="S38" s="132"/>
      <c r="T38" s="132"/>
      <c r="U38" s="132"/>
      <c r="V38" s="132"/>
      <c r="W38" s="132"/>
    </row>
    <row r="39" spans="1:23" x14ac:dyDescent="0.25">
      <c r="A39" s="23"/>
      <c r="B39" s="23"/>
      <c r="C39" s="23"/>
      <c r="G39" s="145" t="s">
        <v>592</v>
      </c>
      <c r="H39" s="145"/>
      <c r="I39" s="145"/>
      <c r="J39" s="145"/>
      <c r="K39" s="145"/>
      <c r="L39" s="145"/>
      <c r="M39" s="145"/>
      <c r="N39" s="145"/>
      <c r="P39" s="57" t="s">
        <v>682</v>
      </c>
      <c r="Q39" s="139"/>
      <c r="R39" s="139"/>
      <c r="S39" s="139"/>
      <c r="T39" s="139"/>
      <c r="U39" s="139"/>
      <c r="V39" s="139"/>
      <c r="W39" s="139"/>
    </row>
    <row r="40" spans="1:23" x14ac:dyDescent="0.25">
      <c r="G40" s="97" t="s">
        <v>587</v>
      </c>
      <c r="H40" s="97"/>
      <c r="I40" s="97"/>
      <c r="J40" s="97"/>
      <c r="K40" s="24"/>
      <c r="L40" s="24"/>
      <c r="M40" s="24"/>
      <c r="N40" s="98" t="s">
        <v>590</v>
      </c>
      <c r="P40" s="57"/>
      <c r="Q40" s="139"/>
      <c r="R40" s="139"/>
      <c r="S40" s="139"/>
      <c r="T40" s="139"/>
      <c r="U40" s="139"/>
      <c r="V40" s="139"/>
      <c r="W40" s="139"/>
    </row>
    <row r="41" spans="1:23" x14ac:dyDescent="0.25">
      <c r="G41" s="162" t="str">
        <f>"Regain " &amp; K7 &amp; " HP and +2 to all defenses until the start of your next turn."</f>
        <v>Regain 2 HP and +2 to all defenses until the start of your next turn.</v>
      </c>
      <c r="H41" s="162"/>
      <c r="I41" s="162"/>
      <c r="J41" s="162"/>
      <c r="K41" s="162"/>
      <c r="L41" s="162"/>
      <c r="M41" s="162"/>
      <c r="N41" s="162"/>
      <c r="P41" s="57" t="s">
        <v>681</v>
      </c>
      <c r="Q41" s="139"/>
      <c r="R41" s="139"/>
      <c r="S41" s="139"/>
      <c r="T41" s="139"/>
      <c r="U41" s="139"/>
      <c r="V41" s="139"/>
      <c r="W41" s="139"/>
    </row>
    <row r="42" spans="1:23" ht="15" customHeight="1" x14ac:dyDescent="0.25">
      <c r="G42" s="97" t="s">
        <v>591</v>
      </c>
      <c r="H42" s="99"/>
      <c r="I42" s="97"/>
      <c r="J42" s="97"/>
      <c r="K42" s="24"/>
      <c r="L42" s="24"/>
      <c r="M42" s="24"/>
      <c r="N42" s="98" t="s">
        <v>584</v>
      </c>
      <c r="P42" s="57"/>
      <c r="Q42" s="139"/>
      <c r="R42" s="139"/>
      <c r="S42" s="139"/>
      <c r="T42" s="139"/>
      <c r="U42" s="139"/>
      <c r="V42" s="139"/>
      <c r="W42" s="139"/>
    </row>
    <row r="43" spans="1:23" x14ac:dyDescent="0.25">
      <c r="G43" s="144" t="str">
        <f>"Move up to " &amp; $S$2 &amp; " squares."</f>
        <v>Move up to 6 squares.</v>
      </c>
      <c r="H43" s="144"/>
      <c r="I43" s="144"/>
      <c r="J43" s="144"/>
      <c r="K43" s="144"/>
      <c r="L43" s="144"/>
      <c r="M43" s="144"/>
      <c r="N43" s="144"/>
    </row>
    <row r="44" spans="1:23" x14ac:dyDescent="0.25">
      <c r="G44" s="161" t="s">
        <v>594</v>
      </c>
      <c r="H44" s="161"/>
      <c r="I44" s="161"/>
      <c r="J44" s="161"/>
      <c r="K44" s="161"/>
      <c r="L44" s="161"/>
      <c r="M44" s="161"/>
      <c r="N44" s="161"/>
    </row>
    <row r="45" spans="1:23" x14ac:dyDescent="0.25">
      <c r="G45" s="161"/>
      <c r="H45" s="161"/>
      <c r="I45" s="161"/>
      <c r="J45" s="161"/>
      <c r="K45" s="161"/>
      <c r="L45" s="161"/>
      <c r="M45" s="161"/>
      <c r="N45" s="161"/>
    </row>
    <row r="46" spans="1:23" x14ac:dyDescent="0.25">
      <c r="G46" s="100" t="s">
        <v>595</v>
      </c>
      <c r="H46" s="101"/>
      <c r="I46" s="101"/>
      <c r="J46" s="101"/>
      <c r="K46" s="101"/>
      <c r="L46" s="101"/>
      <c r="M46" s="101"/>
      <c r="N46" s="101" t="s">
        <v>584</v>
      </c>
      <c r="P46" s="89"/>
      <c r="Q46" s="89"/>
      <c r="R46" s="89"/>
      <c r="S46" s="89"/>
      <c r="T46" s="89"/>
      <c r="U46" s="89"/>
      <c r="V46" s="89"/>
      <c r="W46" s="89"/>
    </row>
    <row r="47" spans="1:23" x14ac:dyDescent="0.25">
      <c r="G47" s="144" t="str">
        <f>"Move up to " &amp; $S$2+2 &amp; " squares."</f>
        <v>Move up to 8 squares.</v>
      </c>
      <c r="H47" s="144"/>
      <c r="I47" s="144"/>
      <c r="J47" s="144"/>
      <c r="K47" s="144"/>
      <c r="L47" s="144"/>
      <c r="M47" s="144"/>
      <c r="N47" s="144"/>
      <c r="P47" s="89"/>
      <c r="Q47" s="89"/>
      <c r="R47" s="89"/>
      <c r="S47" s="89"/>
      <c r="T47" s="89"/>
      <c r="U47" s="89"/>
      <c r="V47" s="89"/>
      <c r="W47" s="89"/>
    </row>
    <row r="48" spans="1:23" x14ac:dyDescent="0.25">
      <c r="G48" s="100" t="s">
        <v>596</v>
      </c>
      <c r="H48" s="101"/>
      <c r="I48" s="101"/>
      <c r="J48" s="101"/>
      <c r="K48" s="101"/>
      <c r="L48" s="101"/>
      <c r="M48" s="101"/>
      <c r="N48" s="101" t="s">
        <v>584</v>
      </c>
      <c r="P48" s="89"/>
      <c r="Q48" s="89"/>
      <c r="R48" s="89"/>
      <c r="S48" s="89"/>
      <c r="T48" s="89"/>
      <c r="U48" s="89"/>
      <c r="V48" s="89"/>
      <c r="W48" s="89"/>
    </row>
    <row r="49" spans="7:23" x14ac:dyDescent="0.25">
      <c r="G49" s="144" t="s">
        <v>597</v>
      </c>
      <c r="H49" s="144"/>
      <c r="I49" s="144"/>
      <c r="J49" s="144"/>
      <c r="K49" s="144"/>
      <c r="L49" s="144"/>
      <c r="M49" s="144"/>
      <c r="N49" s="144"/>
      <c r="P49" s="89"/>
      <c r="Q49" s="89"/>
      <c r="R49" s="89"/>
      <c r="S49" s="89"/>
      <c r="T49" s="89"/>
      <c r="U49" s="89"/>
      <c r="V49" s="89"/>
      <c r="W49" s="89"/>
    </row>
    <row r="50" spans="7:23" x14ac:dyDescent="0.25">
      <c r="P50" s="89"/>
      <c r="Q50" s="89"/>
      <c r="R50" s="89"/>
      <c r="S50" s="89"/>
      <c r="T50" s="89"/>
      <c r="U50" s="89"/>
      <c r="V50" s="89"/>
      <c r="W50" s="89"/>
    </row>
  </sheetData>
  <mergeCells count="76">
    <mergeCell ref="G43:N43"/>
    <mergeCell ref="G44:N45"/>
    <mergeCell ref="G47:N47"/>
    <mergeCell ref="G49:N49"/>
    <mergeCell ref="G41:N41"/>
    <mergeCell ref="V11:W11"/>
    <mergeCell ref="V15:W15"/>
    <mergeCell ref="S6:T6"/>
    <mergeCell ref="S7:T7"/>
    <mergeCell ref="P17:Q17"/>
    <mergeCell ref="R17:S17"/>
    <mergeCell ref="T17:U17"/>
    <mergeCell ref="P15:Q15"/>
    <mergeCell ref="R15:S15"/>
    <mergeCell ref="T15:U15"/>
    <mergeCell ref="P16:Q16"/>
    <mergeCell ref="V13:W13"/>
    <mergeCell ref="P14:Q14"/>
    <mergeCell ref="R14:S14"/>
    <mergeCell ref="T14:U14"/>
    <mergeCell ref="V14:W14"/>
    <mergeCell ref="R16:S16"/>
    <mergeCell ref="T16:U16"/>
    <mergeCell ref="P30:W30"/>
    <mergeCell ref="V17:W17"/>
    <mergeCell ref="P18:Q18"/>
    <mergeCell ref="R18:S18"/>
    <mergeCell ref="T18:U18"/>
    <mergeCell ref="V18:W18"/>
    <mergeCell ref="P25:W25"/>
    <mergeCell ref="P26:W26"/>
    <mergeCell ref="P27:W27"/>
    <mergeCell ref="P22:W22"/>
    <mergeCell ref="P23:W23"/>
    <mergeCell ref="P24:W24"/>
    <mergeCell ref="P28:W28"/>
    <mergeCell ref="P29:W29"/>
    <mergeCell ref="B1:D1"/>
    <mergeCell ref="B3:D3"/>
    <mergeCell ref="B4:D4"/>
    <mergeCell ref="B2:D2"/>
    <mergeCell ref="B5:D5"/>
    <mergeCell ref="P10:Q10"/>
    <mergeCell ref="R10:S10"/>
    <mergeCell ref="T10:U10"/>
    <mergeCell ref="V10:W10"/>
    <mergeCell ref="P21:W21"/>
    <mergeCell ref="P12:Q12"/>
    <mergeCell ref="R12:S12"/>
    <mergeCell ref="T12:U12"/>
    <mergeCell ref="V12:W12"/>
    <mergeCell ref="V16:W16"/>
    <mergeCell ref="P13:Q13"/>
    <mergeCell ref="R13:S13"/>
    <mergeCell ref="T13:U13"/>
    <mergeCell ref="P11:Q11"/>
    <mergeCell ref="R11:S11"/>
    <mergeCell ref="T11:U11"/>
    <mergeCell ref="G37:N37"/>
    <mergeCell ref="G39:N39"/>
    <mergeCell ref="B7:D7"/>
    <mergeCell ref="B6:D6"/>
    <mergeCell ref="J19:N19"/>
    <mergeCell ref="J25:N25"/>
    <mergeCell ref="J22:N22"/>
    <mergeCell ref="J34:N34"/>
    <mergeCell ref="J28:N28"/>
    <mergeCell ref="J31:N31"/>
    <mergeCell ref="Q39:W40"/>
    <mergeCell ref="Q41:W42"/>
    <mergeCell ref="P36:W36"/>
    <mergeCell ref="P31:W31"/>
    <mergeCell ref="P32:W32"/>
    <mergeCell ref="P33:W33"/>
    <mergeCell ref="P34:W34"/>
    <mergeCell ref="P35:W35"/>
  </mergeCells>
  <dataValidations disablePrompts="1" count="6">
    <dataValidation type="list" allowBlank="1" showInputMessage="1" showErrorMessage="1" sqref="B3">
      <formula1>ClassList</formula1>
    </dataValidation>
    <dataValidation type="list" allowBlank="1" showInputMessage="1" showErrorMessage="1" sqref="B4">
      <formula1>LadderList</formula1>
    </dataValidation>
    <dataValidation type="list" allowBlank="1" showInputMessage="1" showErrorMessage="1" sqref="H18 H21 H33 H27 H30 H24">
      <formula1>StatList</formula1>
    </dataValidation>
    <dataValidation type="list" allowBlank="1" showInputMessage="1" showErrorMessage="1" sqref="B5:D5">
      <formula1>PPList</formula1>
    </dataValidation>
    <dataValidation type="list" allowBlank="1" showInputMessage="1" showErrorMessage="1" sqref="B6:D6">
      <formula1>EDList</formula1>
    </dataValidation>
    <dataValidation type="list" allowBlank="1" showInputMessage="1" showErrorMessage="1" sqref="B7">
      <formula1>Ability_Point_Arrays</formula1>
    </dataValidation>
  </dataValidations>
  <hyperlinks>
    <hyperlink ref="V3" r:id="rId1"/>
  </hyperlinks>
  <pageMargins left="0.7" right="0.7" top="0.75" bottom="0.75" header="0.3" footer="0.3"/>
  <pageSetup scale="6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0"/>
  <sheetViews>
    <sheetView workbookViewId="0">
      <selection activeCell="K22" sqref="K22"/>
    </sheetView>
  </sheetViews>
  <sheetFormatPr defaultRowHeight="15" x14ac:dyDescent="0.25"/>
  <cols>
    <col min="1" max="1" width="20.42578125" bestFit="1" customWidth="1"/>
    <col min="2" max="2" width="23.85546875" bestFit="1" customWidth="1"/>
    <col min="3" max="3" width="9.7109375" customWidth="1"/>
    <col min="10" max="10" width="9.140625" customWidth="1"/>
    <col min="12" max="12" width="8.140625" customWidth="1"/>
    <col min="13" max="13" width="18.7109375" customWidth="1"/>
  </cols>
  <sheetData>
    <row r="1" spans="1:16" x14ac:dyDescent="0.25">
      <c r="B1" s="18"/>
      <c r="C1" s="24" t="s">
        <v>363</v>
      </c>
      <c r="D1" s="45" t="s">
        <v>359</v>
      </c>
      <c r="E1" s="45" t="s">
        <v>360</v>
      </c>
      <c r="F1" s="45" t="s">
        <v>361</v>
      </c>
      <c r="G1" s="45" t="s">
        <v>362</v>
      </c>
      <c r="H1" s="29" t="s">
        <v>461</v>
      </c>
    </row>
    <row r="2" spans="1:16" x14ac:dyDescent="0.25">
      <c r="A2" s="24" t="s">
        <v>364</v>
      </c>
      <c r="B2" s="108">
        <f>SUM(G6:G7,H11:H16,C19:C45)</f>
        <v>61</v>
      </c>
      <c r="D2" s="19">
        <f>'Character Sheet'!C11/2</f>
        <v>5</v>
      </c>
      <c r="E2" s="20">
        <f>'Character Sheet'!C11</f>
        <v>10</v>
      </c>
      <c r="F2" s="22" t="str">
        <f>'Character Sheet'!C11*2 &amp;" - " &amp;'Character Sheet'!C11*4</f>
        <v>20 - 40</v>
      </c>
      <c r="G2" s="21" t="str">
        <f>'Character Sheet'!C11*10 &amp; "+"</f>
        <v>100+</v>
      </c>
      <c r="H2" s="30">
        <f>SUMIF(F19:F45,"x",D19:D45)+SUMIF(N6:N7,"x",K6:K7)+SUMIF(N11:N16,"x",J11:J16)</f>
        <v>4</v>
      </c>
    </row>
    <row r="3" spans="1:16" x14ac:dyDescent="0.25">
      <c r="A3" s="24" t="s">
        <v>544</v>
      </c>
      <c r="B3" s="18">
        <f>SUMIF(G19:G45,"x",D19:D45)+SUMIF(N6:N7,"x",K6:K7)+SUMIF(N11:N16,"x",J11:J16)+SUMIF(O26,"x",K26)+SUMIF(O28,"x",K28)+SUMIF(O30,"x",K30)+SUMIF(O32,"x",K32)+SUMIF(O34,"x",K34)+SUMIF(O36,"x",K36)+SUMIF(O38,"x",K38)+SUMIF(O40,"x",K40)+SUMIF(O42,"x",K42)+SUMIF(O44,"x",K44)</f>
        <v>4</v>
      </c>
      <c r="D3" s="55"/>
      <c r="E3" s="55"/>
      <c r="F3" s="55"/>
      <c r="G3" s="55"/>
    </row>
    <row r="5" spans="1:16" x14ac:dyDescent="0.25">
      <c r="A5" s="24" t="s">
        <v>312</v>
      </c>
      <c r="B5" s="29" t="s">
        <v>0</v>
      </c>
      <c r="C5" s="29" t="s">
        <v>312</v>
      </c>
      <c r="D5" s="29" t="s">
        <v>322</v>
      </c>
      <c r="E5" s="29" t="s">
        <v>323</v>
      </c>
      <c r="F5" s="29" t="s">
        <v>1</v>
      </c>
      <c r="G5" s="29" t="s">
        <v>186</v>
      </c>
      <c r="H5" s="29" t="s">
        <v>324</v>
      </c>
      <c r="I5" s="29" t="s">
        <v>325</v>
      </c>
      <c r="J5" s="29" t="s">
        <v>326</v>
      </c>
      <c r="K5" s="29" t="s">
        <v>3</v>
      </c>
      <c r="L5" s="29" t="s">
        <v>21</v>
      </c>
      <c r="M5" s="29" t="s">
        <v>327</v>
      </c>
      <c r="N5" s="29" t="s">
        <v>627</v>
      </c>
      <c r="O5" s="29" t="s">
        <v>444</v>
      </c>
    </row>
    <row r="6" spans="1:16" x14ac:dyDescent="0.25">
      <c r="A6" s="81" t="s">
        <v>459</v>
      </c>
      <c r="B6" s="79" t="s">
        <v>321</v>
      </c>
      <c r="C6" s="75">
        <f t="shared" ref="C6:L6" si="0">VLOOKUP($B6,ARMORDETAIL,COLUMN()-1,FALSE)</f>
        <v>3</v>
      </c>
      <c r="D6" s="75">
        <f t="shared" si="0"/>
        <v>0</v>
      </c>
      <c r="E6" s="75">
        <f t="shared" si="0"/>
        <v>0</v>
      </c>
      <c r="F6" s="102">
        <f t="shared" si="0"/>
        <v>45000</v>
      </c>
      <c r="G6" s="106">
        <f t="shared" si="0"/>
        <v>25</v>
      </c>
      <c r="H6" s="75">
        <f t="shared" si="0"/>
        <v>0</v>
      </c>
      <c r="I6" s="75">
        <f t="shared" si="0"/>
        <v>0</v>
      </c>
      <c r="J6" s="75">
        <f t="shared" si="0"/>
        <v>0</v>
      </c>
      <c r="K6" s="75">
        <f t="shared" si="0"/>
        <v>16</v>
      </c>
      <c r="L6" s="75">
        <f t="shared" si="0"/>
        <v>8</v>
      </c>
      <c r="M6" s="75">
        <f>VLOOKUP($B6,ARMORDETAIL,COLUMN(),FALSE)</f>
        <v>0</v>
      </c>
      <c r="N6" s="77"/>
      <c r="O6" t="str">
        <f>IF(VLOOKUP($B6,ARMORDETAIL,15,FALSE)="X","Special Rules, Please Check Book","")</f>
        <v/>
      </c>
    </row>
    <row r="7" spans="1:16" x14ac:dyDescent="0.25">
      <c r="A7" s="82" t="s">
        <v>358</v>
      </c>
      <c r="B7" s="78" t="s">
        <v>311</v>
      </c>
      <c r="C7" s="70">
        <f t="shared" ref="C7:L7" si="1">VLOOKUP($B7,SHIELDDETAIL,COLUMN()-1,FALSE)</f>
        <v>0</v>
      </c>
      <c r="D7" s="70">
        <f t="shared" si="1"/>
        <v>0</v>
      </c>
      <c r="E7" s="70">
        <f t="shared" si="1"/>
        <v>0</v>
      </c>
      <c r="F7" s="103">
        <f t="shared" si="1"/>
        <v>0</v>
      </c>
      <c r="G7" s="107">
        <f t="shared" si="1"/>
        <v>0</v>
      </c>
      <c r="H7" s="70">
        <f t="shared" si="1"/>
        <v>0</v>
      </c>
      <c r="I7" s="70">
        <f t="shared" si="1"/>
        <v>0</v>
      </c>
      <c r="J7" s="70">
        <f t="shared" si="1"/>
        <v>0</v>
      </c>
      <c r="K7" s="70">
        <f t="shared" si="1"/>
        <v>0</v>
      </c>
      <c r="L7" s="70">
        <f t="shared" si="1"/>
        <v>0</v>
      </c>
      <c r="M7" s="80">
        <f>VLOOKUP($B$7,SHIELDDETAIL,COLUMN(),FALSE)</f>
        <v>0</v>
      </c>
      <c r="N7" s="77"/>
      <c r="O7" s="23" t="str">
        <f>IF(VLOOKUP($B$7,SHIELDDETAIL,15,FALSE)="X","Special Rules, Please Check Book","")</f>
        <v/>
      </c>
    </row>
    <row r="9" spans="1:16" x14ac:dyDescent="0.25">
      <c r="P9" s="9"/>
    </row>
    <row r="10" spans="1:16" x14ac:dyDescent="0.25">
      <c r="A10" s="24" t="s">
        <v>190</v>
      </c>
      <c r="B10" s="29" t="s">
        <v>0</v>
      </c>
      <c r="C10" s="29" t="s">
        <v>179</v>
      </c>
      <c r="D10" s="29" t="s">
        <v>180</v>
      </c>
      <c r="E10" s="29" t="s">
        <v>181</v>
      </c>
      <c r="F10" s="29" t="s">
        <v>182</v>
      </c>
      <c r="G10" s="29" t="s">
        <v>1</v>
      </c>
      <c r="H10" s="29" t="s">
        <v>186</v>
      </c>
      <c r="I10" s="29" t="s">
        <v>187</v>
      </c>
      <c r="J10" s="29" t="s">
        <v>3</v>
      </c>
      <c r="K10" s="29" t="s">
        <v>21</v>
      </c>
      <c r="L10" s="29" t="s">
        <v>188</v>
      </c>
      <c r="M10" s="29" t="s">
        <v>189</v>
      </c>
      <c r="N10" s="29" t="s">
        <v>627</v>
      </c>
      <c r="O10" s="58"/>
    </row>
    <row r="11" spans="1:16" x14ac:dyDescent="0.25">
      <c r="A11" s="74" t="s">
        <v>308</v>
      </c>
      <c r="B11" s="74" t="s">
        <v>97</v>
      </c>
      <c r="C11" s="75">
        <f t="shared" ref="C11:M16" si="2">VLOOKUP($B11,LISTLOOKUP,COLUMN()-1,FALSE)</f>
        <v>2</v>
      </c>
      <c r="D11" s="75" t="str">
        <f t="shared" si="2"/>
        <v>1d4</v>
      </c>
      <c r="E11" s="75" t="str">
        <f t="shared" si="2"/>
        <v xml:space="preserve">15/30 </v>
      </c>
      <c r="F11" s="75">
        <f t="shared" si="2"/>
        <v>0</v>
      </c>
      <c r="G11" s="102">
        <f t="shared" si="2"/>
        <v>150</v>
      </c>
      <c r="H11" s="106">
        <f t="shared" si="2"/>
        <v>2</v>
      </c>
      <c r="I11" s="75">
        <f t="shared" si="2"/>
        <v>6</v>
      </c>
      <c r="J11" s="75">
        <f t="shared" si="2"/>
        <v>4</v>
      </c>
      <c r="K11" s="75">
        <f t="shared" si="2"/>
        <v>1</v>
      </c>
      <c r="L11" s="75" t="str">
        <f t="shared" si="2"/>
        <v xml:space="preserve">1d4 </v>
      </c>
      <c r="M11" s="75" t="str">
        <f>VLOOKUP($B11,LISTLOOKUP,COLUMN()-1,FALSE)</f>
        <v xml:space="preserve">Off-hand </v>
      </c>
      <c r="N11" s="77" t="s">
        <v>425</v>
      </c>
    </row>
    <row r="12" spans="1:16" x14ac:dyDescent="0.25">
      <c r="A12" s="76" t="s">
        <v>307</v>
      </c>
      <c r="B12" s="76" t="s">
        <v>106</v>
      </c>
      <c r="C12" s="70">
        <f t="shared" si="2"/>
        <v>2</v>
      </c>
      <c r="D12" s="70" t="str">
        <f t="shared" si="2"/>
        <v>1d8</v>
      </c>
      <c r="E12" s="70" t="str">
        <f t="shared" si="2"/>
        <v xml:space="preserve">15/30 </v>
      </c>
      <c r="F12" s="70">
        <f t="shared" si="2"/>
        <v>0</v>
      </c>
      <c r="G12" s="103">
        <f t="shared" si="2"/>
        <v>360</v>
      </c>
      <c r="H12" s="107">
        <f t="shared" si="2"/>
        <v>4</v>
      </c>
      <c r="I12" s="70">
        <f t="shared" si="2"/>
        <v>5</v>
      </c>
      <c r="J12" s="70">
        <f t="shared" si="2"/>
        <v>8</v>
      </c>
      <c r="K12" s="70">
        <f t="shared" si="2"/>
        <v>1</v>
      </c>
      <c r="L12" s="70" t="str">
        <f t="shared" si="2"/>
        <v xml:space="preserve">1d8 </v>
      </c>
      <c r="M12" s="70">
        <f t="shared" si="2"/>
        <v>0</v>
      </c>
      <c r="N12" s="77"/>
    </row>
    <row r="13" spans="1:16" x14ac:dyDescent="0.25">
      <c r="A13" s="74" t="s">
        <v>309</v>
      </c>
      <c r="B13" s="74" t="s">
        <v>311</v>
      </c>
      <c r="C13" s="75">
        <f t="shared" si="2"/>
        <v>0</v>
      </c>
      <c r="D13" s="75">
        <f t="shared" si="2"/>
        <v>0</v>
      </c>
      <c r="E13" s="75">
        <f t="shared" si="2"/>
        <v>0</v>
      </c>
      <c r="F13" s="75">
        <f t="shared" si="2"/>
        <v>0</v>
      </c>
      <c r="G13" s="102">
        <f t="shared" si="2"/>
        <v>0</v>
      </c>
      <c r="H13" s="106">
        <f t="shared" si="2"/>
        <v>0</v>
      </c>
      <c r="I13" s="75">
        <f t="shared" si="2"/>
        <v>0</v>
      </c>
      <c r="J13" s="75">
        <f t="shared" si="2"/>
        <v>0</v>
      </c>
      <c r="K13" s="75">
        <f t="shared" si="2"/>
        <v>0</v>
      </c>
      <c r="L13" s="75">
        <f t="shared" si="2"/>
        <v>0</v>
      </c>
      <c r="M13" s="75">
        <f t="shared" si="2"/>
        <v>0</v>
      </c>
      <c r="N13" s="77"/>
    </row>
    <row r="14" spans="1:16" x14ac:dyDescent="0.25">
      <c r="A14" s="76" t="s">
        <v>309</v>
      </c>
      <c r="B14" s="76" t="s">
        <v>311</v>
      </c>
      <c r="C14" s="70">
        <f t="shared" si="2"/>
        <v>0</v>
      </c>
      <c r="D14" s="70">
        <f t="shared" si="2"/>
        <v>0</v>
      </c>
      <c r="E14" s="70">
        <f t="shared" si="2"/>
        <v>0</v>
      </c>
      <c r="F14" s="70">
        <f t="shared" si="2"/>
        <v>0</v>
      </c>
      <c r="G14" s="103">
        <f t="shared" si="2"/>
        <v>0</v>
      </c>
      <c r="H14" s="107">
        <f t="shared" si="2"/>
        <v>0</v>
      </c>
      <c r="I14" s="70">
        <f t="shared" si="2"/>
        <v>0</v>
      </c>
      <c r="J14" s="70">
        <f t="shared" si="2"/>
        <v>0</v>
      </c>
      <c r="K14" s="70">
        <f t="shared" si="2"/>
        <v>0</v>
      </c>
      <c r="L14" s="70">
        <f t="shared" si="2"/>
        <v>0</v>
      </c>
      <c r="M14" s="70">
        <f t="shared" si="2"/>
        <v>0</v>
      </c>
      <c r="N14" s="77"/>
    </row>
    <row r="15" spans="1:16" x14ac:dyDescent="0.25">
      <c r="A15" s="74" t="s">
        <v>309</v>
      </c>
      <c r="B15" s="74" t="s">
        <v>311</v>
      </c>
      <c r="C15" s="75">
        <f t="shared" si="2"/>
        <v>0</v>
      </c>
      <c r="D15" s="75">
        <f t="shared" si="2"/>
        <v>0</v>
      </c>
      <c r="E15" s="75">
        <f t="shared" si="2"/>
        <v>0</v>
      </c>
      <c r="F15" s="75">
        <f t="shared" si="2"/>
        <v>0</v>
      </c>
      <c r="G15" s="102">
        <f t="shared" si="2"/>
        <v>0</v>
      </c>
      <c r="H15" s="106">
        <f t="shared" si="2"/>
        <v>0</v>
      </c>
      <c r="I15" s="75">
        <f t="shared" si="2"/>
        <v>0</v>
      </c>
      <c r="J15" s="75">
        <f t="shared" si="2"/>
        <v>0</v>
      </c>
      <c r="K15" s="75">
        <f t="shared" si="2"/>
        <v>0</v>
      </c>
      <c r="L15" s="75">
        <f t="shared" si="2"/>
        <v>0</v>
      </c>
      <c r="M15" s="75">
        <f t="shared" si="2"/>
        <v>0</v>
      </c>
      <c r="N15" s="77"/>
    </row>
    <row r="16" spans="1:16" x14ac:dyDescent="0.25">
      <c r="A16" s="76" t="s">
        <v>309</v>
      </c>
      <c r="B16" s="76" t="s">
        <v>311</v>
      </c>
      <c r="C16" s="70">
        <f t="shared" si="2"/>
        <v>0</v>
      </c>
      <c r="D16" s="70">
        <f t="shared" si="2"/>
        <v>0</v>
      </c>
      <c r="E16" s="70">
        <f t="shared" si="2"/>
        <v>0</v>
      </c>
      <c r="F16" s="70">
        <f t="shared" si="2"/>
        <v>0</v>
      </c>
      <c r="G16" s="103">
        <f t="shared" si="2"/>
        <v>0</v>
      </c>
      <c r="H16" s="107">
        <f t="shared" si="2"/>
        <v>0</v>
      </c>
      <c r="I16" s="70">
        <f t="shared" si="2"/>
        <v>0</v>
      </c>
      <c r="J16" s="70">
        <f t="shared" si="2"/>
        <v>0</v>
      </c>
      <c r="K16" s="70">
        <f t="shared" si="2"/>
        <v>0</v>
      </c>
      <c r="L16" s="70">
        <f t="shared" si="2"/>
        <v>0</v>
      </c>
      <c r="M16" s="70">
        <f t="shared" si="2"/>
        <v>0</v>
      </c>
      <c r="N16" s="77"/>
    </row>
    <row r="18" spans="1:15" x14ac:dyDescent="0.25">
      <c r="A18" s="24" t="s">
        <v>4</v>
      </c>
      <c r="B18" s="29" t="s">
        <v>1</v>
      </c>
      <c r="C18" s="29" t="s">
        <v>2</v>
      </c>
      <c r="D18" s="29" t="s">
        <v>3</v>
      </c>
      <c r="E18" s="29" t="s">
        <v>21</v>
      </c>
      <c r="F18" s="29" t="s">
        <v>625</v>
      </c>
      <c r="G18" s="120" t="s">
        <v>627</v>
      </c>
      <c r="I18" s="84" t="s">
        <v>550</v>
      </c>
      <c r="J18" s="84"/>
      <c r="K18" s="59"/>
    </row>
    <row r="19" spans="1:15" x14ac:dyDescent="0.25">
      <c r="A19" s="119" t="s">
        <v>311</v>
      </c>
      <c r="B19" s="102">
        <f t="shared" ref="B19:B45" si="3">VLOOKUP($A19,GEARDETAIL,COLUMN(),FALSE)*F19</f>
        <v>0</v>
      </c>
      <c r="C19" s="106">
        <f t="shared" ref="C19:C45" si="4">VLOOKUP($A19,GEARDETAIL,COLUMN(),FALSE)*F19</f>
        <v>0</v>
      </c>
      <c r="D19" s="75">
        <f t="shared" ref="D19:D45" si="5">VLOOKUP($A19,GEARDETAIL,COLUMN(),FALSE)*F19</f>
        <v>0</v>
      </c>
      <c r="E19" s="75">
        <f t="shared" ref="E19:E45" si="6">VLOOKUP($A19,GEARDETAIL,COLUMN(),FALSE)</f>
        <v>0</v>
      </c>
      <c r="F19" s="47"/>
      <c r="G19" s="47"/>
      <c r="I19" s="57"/>
      <c r="J19" s="60" t="s">
        <v>551</v>
      </c>
      <c r="K19" s="72">
        <v>0</v>
      </c>
    </row>
    <row r="20" spans="1:15" x14ac:dyDescent="0.25">
      <c r="A20" s="76" t="s">
        <v>311</v>
      </c>
      <c r="B20" s="103">
        <f t="shared" si="3"/>
        <v>0</v>
      </c>
      <c r="C20" s="107">
        <f t="shared" si="4"/>
        <v>0</v>
      </c>
      <c r="D20" s="70">
        <f t="shared" si="5"/>
        <v>0</v>
      </c>
      <c r="E20" s="70">
        <f t="shared" si="6"/>
        <v>0</v>
      </c>
      <c r="F20" s="47"/>
      <c r="G20" s="47"/>
      <c r="I20" s="57"/>
      <c r="J20" s="60" t="s">
        <v>552</v>
      </c>
      <c r="K20" s="73">
        <f>SUMIF(N6:N7,"",F6:F7)+SUMIF(N11:N16,"",G11:G16)+SUMIF(G19:G45,"",B19:B45)+SUMIF(O26,"",L26)+SUMIF(O28,"",L28)+SUMIF(O30,"",L30)+SUMIF(O32,"",L32)+SUMIF(O34,"",L34)+SUMIF(O36,"",L36)+SUMIF(O38,"",L38)+SUMIF(O40,"",L40)+SUMIF(O42,"",L42)+SUMIF(O44,"",L44)</f>
        <v>170360</v>
      </c>
    </row>
    <row r="21" spans="1:15" x14ac:dyDescent="0.25">
      <c r="A21" s="119" t="s">
        <v>57</v>
      </c>
      <c r="B21" s="102">
        <f t="shared" si="3"/>
        <v>125000</v>
      </c>
      <c r="C21" s="106">
        <f t="shared" si="4"/>
        <v>30</v>
      </c>
      <c r="D21" s="75">
        <f t="shared" si="5"/>
        <v>20</v>
      </c>
      <c r="E21" s="75" t="str">
        <f t="shared" si="6"/>
        <v xml:space="preserve">20/TL4 </v>
      </c>
      <c r="F21" s="47">
        <v>1</v>
      </c>
      <c r="G21" s="47"/>
      <c r="I21" s="57"/>
      <c r="J21" s="60" t="s">
        <v>554</v>
      </c>
      <c r="K21" s="72">
        <v>0</v>
      </c>
    </row>
    <row r="22" spans="1:15" x14ac:dyDescent="0.25">
      <c r="A22" s="76" t="s">
        <v>311</v>
      </c>
      <c r="B22" s="103">
        <f t="shared" si="3"/>
        <v>0</v>
      </c>
      <c r="C22" s="107">
        <f t="shared" si="4"/>
        <v>0</v>
      </c>
      <c r="D22" s="70">
        <f t="shared" si="5"/>
        <v>0</v>
      </c>
      <c r="E22" s="70">
        <f t="shared" si="6"/>
        <v>0</v>
      </c>
      <c r="F22" s="47"/>
      <c r="G22" s="47"/>
      <c r="I22" s="46"/>
      <c r="J22" s="61" t="s">
        <v>553</v>
      </c>
      <c r="K22" s="94">
        <f>SUM(K19:K21)</f>
        <v>170360</v>
      </c>
    </row>
    <row r="23" spans="1:15" x14ac:dyDescent="0.25">
      <c r="A23" s="119" t="s">
        <v>311</v>
      </c>
      <c r="B23" s="102">
        <f t="shared" si="3"/>
        <v>0</v>
      </c>
      <c r="C23" s="106">
        <f t="shared" si="4"/>
        <v>0</v>
      </c>
      <c r="D23" s="75">
        <f t="shared" si="5"/>
        <v>0</v>
      </c>
      <c r="E23" s="75">
        <f t="shared" si="6"/>
        <v>0</v>
      </c>
      <c r="F23" s="47"/>
      <c r="G23" s="47"/>
    </row>
    <row r="24" spans="1:15" x14ac:dyDescent="0.25">
      <c r="A24" s="76" t="s">
        <v>311</v>
      </c>
      <c r="B24" s="103">
        <f t="shared" si="3"/>
        <v>0</v>
      </c>
      <c r="C24" s="107">
        <f t="shared" si="4"/>
        <v>0</v>
      </c>
      <c r="D24" s="70">
        <f t="shared" si="5"/>
        <v>0</v>
      </c>
      <c r="E24" s="70">
        <f t="shared" si="6"/>
        <v>0</v>
      </c>
      <c r="F24" s="47"/>
      <c r="G24" s="47"/>
    </row>
    <row r="25" spans="1:15" x14ac:dyDescent="0.25">
      <c r="A25" s="119" t="s">
        <v>311</v>
      </c>
      <c r="B25" s="102">
        <f t="shared" si="3"/>
        <v>0</v>
      </c>
      <c r="C25" s="106">
        <f t="shared" si="4"/>
        <v>0</v>
      </c>
      <c r="D25" s="75">
        <f t="shared" si="5"/>
        <v>0</v>
      </c>
      <c r="E25" s="75">
        <f t="shared" si="6"/>
        <v>0</v>
      </c>
      <c r="F25" s="47"/>
      <c r="G25" s="47"/>
      <c r="I25" s="169" t="s">
        <v>598</v>
      </c>
      <c r="J25" s="169"/>
      <c r="K25" s="84" t="s">
        <v>3</v>
      </c>
      <c r="L25" s="84" t="s">
        <v>623</v>
      </c>
      <c r="M25" s="84" t="s">
        <v>624</v>
      </c>
      <c r="N25" s="32" t="s">
        <v>625</v>
      </c>
      <c r="O25" s="32" t="s">
        <v>626</v>
      </c>
    </row>
    <row r="26" spans="1:15" x14ac:dyDescent="0.25">
      <c r="A26" s="76" t="s">
        <v>311</v>
      </c>
      <c r="B26" s="103">
        <f t="shared" si="3"/>
        <v>0</v>
      </c>
      <c r="C26" s="107">
        <f t="shared" si="4"/>
        <v>0</v>
      </c>
      <c r="D26" s="70">
        <f t="shared" si="5"/>
        <v>0</v>
      </c>
      <c r="E26" s="70">
        <f t="shared" si="6"/>
        <v>0</v>
      </c>
      <c r="F26" s="47"/>
      <c r="G26" s="47"/>
      <c r="I26" s="167" t="s">
        <v>638</v>
      </c>
      <c r="J26" s="167"/>
      <c r="K26" s="92">
        <f>VLOOKUP($I26,AmmoDetail,COLUMN()-8,FALSE)*N26</f>
        <v>0</v>
      </c>
      <c r="L26" s="104">
        <f>VLOOKUP($I26,AmmoDetail,COLUMN()-8,FALSE)*N26*VLOOKUP($I27,AmmoTypeDetail,3,FALSE)</f>
        <v>0</v>
      </c>
      <c r="M26" s="92" t="str">
        <f>VLOOKUP($I26,AmmoDetail,COLUMN()-11,FALSE)</f>
        <v xml:space="preserve">1d4/1d6 </v>
      </c>
      <c r="N26" s="28"/>
      <c r="O26" s="28"/>
    </row>
    <row r="27" spans="1:15" x14ac:dyDescent="0.25">
      <c r="A27" s="119" t="s">
        <v>311</v>
      </c>
      <c r="B27" s="102">
        <f t="shared" si="3"/>
        <v>0</v>
      </c>
      <c r="C27" s="106">
        <f t="shared" si="4"/>
        <v>0</v>
      </c>
      <c r="D27" s="75">
        <f t="shared" si="5"/>
        <v>0</v>
      </c>
      <c r="E27" s="75">
        <f t="shared" si="6"/>
        <v>0</v>
      </c>
      <c r="F27" s="47"/>
      <c r="G27" s="47"/>
      <c r="I27" s="164" t="s">
        <v>651</v>
      </c>
      <c r="J27" s="164"/>
      <c r="K27" s="163" t="str">
        <f>IF(VLOOKUP($I27,AmmoTypeDetail,COLUMN()-7,FALSE)=0,"",VLOOKUP($I27,AmmoTypeDetail,COLUMN()-7,FALSE))</f>
        <v>+1 Burst Area</v>
      </c>
      <c r="L27" s="163"/>
      <c r="M27" s="163"/>
      <c r="N27" s="163"/>
      <c r="O27" s="163"/>
    </row>
    <row r="28" spans="1:15" x14ac:dyDescent="0.25">
      <c r="A28" s="76" t="s">
        <v>311</v>
      </c>
      <c r="B28" s="103">
        <f t="shared" si="3"/>
        <v>0</v>
      </c>
      <c r="C28" s="107">
        <f t="shared" si="4"/>
        <v>0</v>
      </c>
      <c r="D28" s="70">
        <f t="shared" si="5"/>
        <v>0</v>
      </c>
      <c r="E28" s="70">
        <f t="shared" si="6"/>
        <v>0</v>
      </c>
      <c r="F28" s="47"/>
      <c r="G28" s="47"/>
      <c r="I28" s="165" t="s">
        <v>402</v>
      </c>
      <c r="J28" s="165"/>
      <c r="K28" s="93">
        <f>VLOOKUP($I28,AmmoDetail,COLUMN()-8,FALSE)*N28</f>
        <v>0</v>
      </c>
      <c r="L28" s="105">
        <f>VLOOKUP($I28,AmmoDetail,COLUMN()-8,FALSE)*N28*VLOOKUP($I29,AmmoTypeDetail,3,FALSE)</f>
        <v>0</v>
      </c>
      <c r="M28" s="93">
        <f>VLOOKUP($I28,AmmoDetail,COLUMN()-11,FALSE)</f>
        <v>0</v>
      </c>
      <c r="N28" s="28"/>
      <c r="O28" s="28"/>
    </row>
    <row r="29" spans="1:15" x14ac:dyDescent="0.25">
      <c r="A29" s="119" t="s">
        <v>311</v>
      </c>
      <c r="B29" s="102">
        <f t="shared" si="3"/>
        <v>0</v>
      </c>
      <c r="C29" s="106">
        <f t="shared" si="4"/>
        <v>0</v>
      </c>
      <c r="D29" s="75">
        <f t="shared" si="5"/>
        <v>0</v>
      </c>
      <c r="E29" s="75">
        <f t="shared" si="6"/>
        <v>0</v>
      </c>
      <c r="F29" s="47"/>
      <c r="G29" s="47"/>
      <c r="I29" s="166" t="s">
        <v>655</v>
      </c>
      <c r="J29" s="166"/>
      <c r="K29" s="139" t="str">
        <f>IF(VLOOKUP($I29,AmmoTypeDetail,COLUMN()-7,FALSE)=0,"",VLOOKUP($I29,AmmoTypeDetail,COLUMN()-7,FALSE))</f>
        <v/>
      </c>
      <c r="L29" s="139"/>
      <c r="M29" s="139"/>
      <c r="N29" s="139"/>
      <c r="O29" s="139"/>
    </row>
    <row r="30" spans="1:15" x14ac:dyDescent="0.25">
      <c r="A30" s="76" t="s">
        <v>311</v>
      </c>
      <c r="B30" s="103">
        <f t="shared" si="3"/>
        <v>0</v>
      </c>
      <c r="C30" s="107">
        <f t="shared" si="4"/>
        <v>0</v>
      </c>
      <c r="D30" s="70">
        <f t="shared" si="5"/>
        <v>0</v>
      </c>
      <c r="E30" s="70">
        <f t="shared" si="6"/>
        <v>0</v>
      </c>
      <c r="F30" s="47"/>
      <c r="G30" s="47"/>
      <c r="I30" s="167" t="s">
        <v>402</v>
      </c>
      <c r="J30" s="167"/>
      <c r="K30" s="92">
        <f>VLOOKUP($I30,AmmoDetail,COLUMN()-8,FALSE)*N30</f>
        <v>0</v>
      </c>
      <c r="L30" s="104">
        <f>VLOOKUP($I30,AmmoDetail,COLUMN()-8,FALSE)*N30*VLOOKUP($I31,AmmoTypeDetail,3,FALSE)</f>
        <v>0</v>
      </c>
      <c r="M30" s="92">
        <f>VLOOKUP($I30,AmmoDetail,COLUMN()-11,FALSE)</f>
        <v>0</v>
      </c>
      <c r="N30" s="28"/>
      <c r="O30" s="28"/>
    </row>
    <row r="31" spans="1:15" x14ac:dyDescent="0.25">
      <c r="A31" s="119" t="s">
        <v>311</v>
      </c>
      <c r="B31" s="102">
        <f t="shared" si="3"/>
        <v>0</v>
      </c>
      <c r="C31" s="106">
        <f t="shared" si="4"/>
        <v>0</v>
      </c>
      <c r="D31" s="75">
        <f t="shared" si="5"/>
        <v>0</v>
      </c>
      <c r="E31" s="75">
        <f t="shared" si="6"/>
        <v>0</v>
      </c>
      <c r="F31" s="47"/>
      <c r="G31" s="47"/>
      <c r="I31" s="164" t="s">
        <v>655</v>
      </c>
      <c r="J31" s="164"/>
      <c r="K31" s="163" t="str">
        <f>IF(VLOOKUP($I31,AmmoTypeDetail,COLUMN()-7,FALSE)=0,"",VLOOKUP($I31,AmmoTypeDetail,COLUMN()-7,FALSE))</f>
        <v/>
      </c>
      <c r="L31" s="163"/>
      <c r="M31" s="163"/>
      <c r="N31" s="163"/>
      <c r="O31" s="163"/>
    </row>
    <row r="32" spans="1:15" x14ac:dyDescent="0.25">
      <c r="A32" s="76" t="s">
        <v>311</v>
      </c>
      <c r="B32" s="103">
        <f t="shared" si="3"/>
        <v>0</v>
      </c>
      <c r="C32" s="107">
        <f t="shared" si="4"/>
        <v>0</v>
      </c>
      <c r="D32" s="70">
        <f t="shared" si="5"/>
        <v>0</v>
      </c>
      <c r="E32" s="70">
        <f t="shared" si="6"/>
        <v>0</v>
      </c>
      <c r="F32" s="47"/>
      <c r="G32" s="47"/>
      <c r="I32" s="165" t="s">
        <v>402</v>
      </c>
      <c r="J32" s="165"/>
      <c r="K32" s="93">
        <f>VLOOKUP($I32,AmmoDetail,COLUMN()-8,FALSE)*N32</f>
        <v>0</v>
      </c>
      <c r="L32" s="105">
        <f>VLOOKUP($I32,AmmoDetail,COLUMN()-8,FALSE)*N32*VLOOKUP($I33,AmmoTypeDetail,3,FALSE)</f>
        <v>0</v>
      </c>
      <c r="M32" s="93">
        <f>VLOOKUP($I32,AmmoDetail,COLUMN()-11,FALSE)</f>
        <v>0</v>
      </c>
      <c r="N32" s="28"/>
      <c r="O32" s="28"/>
    </row>
    <row r="33" spans="1:15" x14ac:dyDescent="0.25">
      <c r="A33" s="119" t="s">
        <v>311</v>
      </c>
      <c r="B33" s="102">
        <f t="shared" si="3"/>
        <v>0</v>
      </c>
      <c r="C33" s="106">
        <f t="shared" si="4"/>
        <v>0</v>
      </c>
      <c r="D33" s="75">
        <f t="shared" si="5"/>
        <v>0</v>
      </c>
      <c r="E33" s="75">
        <f t="shared" si="6"/>
        <v>0</v>
      </c>
      <c r="F33" s="47"/>
      <c r="G33" s="47"/>
      <c r="I33" s="166" t="s">
        <v>655</v>
      </c>
      <c r="J33" s="166"/>
      <c r="K33" s="139" t="str">
        <f>IF(VLOOKUP($I33,AmmoTypeDetail,COLUMN()-7,FALSE)=0,"",VLOOKUP($I33,AmmoTypeDetail,COLUMN()-7,FALSE))</f>
        <v/>
      </c>
      <c r="L33" s="139"/>
      <c r="M33" s="139"/>
      <c r="N33" s="139"/>
      <c r="O33" s="139"/>
    </row>
    <row r="34" spans="1:15" x14ac:dyDescent="0.25">
      <c r="A34" s="76" t="s">
        <v>311</v>
      </c>
      <c r="B34" s="103">
        <f t="shared" si="3"/>
        <v>0</v>
      </c>
      <c r="C34" s="107">
        <f t="shared" si="4"/>
        <v>0</v>
      </c>
      <c r="D34" s="70">
        <f t="shared" si="5"/>
        <v>0</v>
      </c>
      <c r="E34" s="70">
        <f t="shared" si="6"/>
        <v>0</v>
      </c>
      <c r="F34" s="47"/>
      <c r="G34" s="47"/>
      <c r="I34" s="167" t="s">
        <v>402</v>
      </c>
      <c r="J34" s="167"/>
      <c r="K34" s="92">
        <f>VLOOKUP($I34,AmmoDetail,COLUMN()-8,FALSE)*N34</f>
        <v>0</v>
      </c>
      <c r="L34" s="104">
        <f>VLOOKUP($I34,AmmoDetail,COLUMN()-8,FALSE)*N34*VLOOKUP($I35,AmmoTypeDetail,3,FALSE)</f>
        <v>0</v>
      </c>
      <c r="M34" s="92">
        <f>VLOOKUP($I34,AmmoDetail,COLUMN()-11,FALSE)</f>
        <v>0</v>
      </c>
      <c r="N34" s="28"/>
      <c r="O34" s="28"/>
    </row>
    <row r="35" spans="1:15" x14ac:dyDescent="0.25">
      <c r="A35" s="119" t="s">
        <v>311</v>
      </c>
      <c r="B35" s="102">
        <f t="shared" si="3"/>
        <v>0</v>
      </c>
      <c r="C35" s="106">
        <f t="shared" si="4"/>
        <v>0</v>
      </c>
      <c r="D35" s="75">
        <f t="shared" si="5"/>
        <v>0</v>
      </c>
      <c r="E35" s="75">
        <f t="shared" si="6"/>
        <v>0</v>
      </c>
      <c r="F35" s="47"/>
      <c r="G35" s="47"/>
      <c r="I35" s="164" t="s">
        <v>655</v>
      </c>
      <c r="J35" s="164"/>
      <c r="K35" s="163" t="str">
        <f>IF(VLOOKUP($I35,AmmoTypeDetail,COLUMN()-7,FALSE)=0,"",VLOOKUP($I35,AmmoTypeDetail,COLUMN()-7,FALSE))</f>
        <v/>
      </c>
      <c r="L35" s="163"/>
      <c r="M35" s="163"/>
      <c r="N35" s="163"/>
      <c r="O35" s="163"/>
    </row>
    <row r="36" spans="1:15" x14ac:dyDescent="0.25">
      <c r="A36" s="76" t="s">
        <v>311</v>
      </c>
      <c r="B36" s="103">
        <f t="shared" si="3"/>
        <v>0</v>
      </c>
      <c r="C36" s="107">
        <f t="shared" si="4"/>
        <v>0</v>
      </c>
      <c r="D36" s="70">
        <f t="shared" si="5"/>
        <v>0</v>
      </c>
      <c r="E36" s="70">
        <f t="shared" si="6"/>
        <v>0</v>
      </c>
      <c r="F36" s="47"/>
      <c r="G36" s="47"/>
      <c r="I36" s="165" t="s">
        <v>402</v>
      </c>
      <c r="J36" s="165"/>
      <c r="K36" s="93">
        <f>VLOOKUP($I36,AmmoDetail,COLUMN()-8,FALSE)*N36</f>
        <v>0</v>
      </c>
      <c r="L36" s="105">
        <f>VLOOKUP($I36,AmmoDetail,COLUMN()-8,FALSE)*N36*VLOOKUP($I37,AmmoTypeDetail,3,FALSE)</f>
        <v>0</v>
      </c>
      <c r="M36" s="93">
        <f>VLOOKUP($I36,AmmoDetail,COLUMN()-11,FALSE)</f>
        <v>0</v>
      </c>
      <c r="N36" s="28"/>
      <c r="O36" s="28"/>
    </row>
    <row r="37" spans="1:15" x14ac:dyDescent="0.25">
      <c r="A37" s="119" t="s">
        <v>311</v>
      </c>
      <c r="B37" s="102">
        <f t="shared" si="3"/>
        <v>0</v>
      </c>
      <c r="C37" s="106">
        <f t="shared" si="4"/>
        <v>0</v>
      </c>
      <c r="D37" s="75">
        <f t="shared" si="5"/>
        <v>0</v>
      </c>
      <c r="E37" s="75">
        <f t="shared" si="6"/>
        <v>0</v>
      </c>
      <c r="F37" s="47"/>
      <c r="G37" s="47"/>
      <c r="I37" s="166" t="s">
        <v>655</v>
      </c>
      <c r="J37" s="166"/>
      <c r="K37" s="139" t="str">
        <f>IF(VLOOKUP($I37,AmmoTypeDetail,COLUMN()-7,FALSE)=0,"",VLOOKUP($I37,AmmoTypeDetail,COLUMN()-7,FALSE))</f>
        <v/>
      </c>
      <c r="L37" s="139"/>
      <c r="M37" s="139"/>
      <c r="N37" s="139"/>
      <c r="O37" s="139"/>
    </row>
    <row r="38" spans="1:15" x14ac:dyDescent="0.25">
      <c r="A38" s="76" t="s">
        <v>311</v>
      </c>
      <c r="B38" s="103">
        <f t="shared" si="3"/>
        <v>0</v>
      </c>
      <c r="C38" s="107">
        <f t="shared" si="4"/>
        <v>0</v>
      </c>
      <c r="D38" s="70">
        <f t="shared" si="5"/>
        <v>0</v>
      </c>
      <c r="E38" s="70">
        <f t="shared" si="6"/>
        <v>0</v>
      </c>
      <c r="F38" s="47"/>
      <c r="G38" s="47"/>
      <c r="I38" s="167" t="s">
        <v>402</v>
      </c>
      <c r="J38" s="167"/>
      <c r="K38" s="92">
        <f>VLOOKUP($I38,AmmoDetail,COLUMN()-8,FALSE)*N38</f>
        <v>0</v>
      </c>
      <c r="L38" s="104">
        <f>VLOOKUP($I38,AmmoDetail,COLUMN()-8,FALSE)*N38*VLOOKUP($I39,AmmoTypeDetail,3,FALSE)</f>
        <v>0</v>
      </c>
      <c r="M38" s="92">
        <f>VLOOKUP($I38,AmmoDetail,COLUMN()-11,FALSE)</f>
        <v>0</v>
      </c>
      <c r="N38" s="28"/>
      <c r="O38" s="28"/>
    </row>
    <row r="39" spans="1:15" x14ac:dyDescent="0.25">
      <c r="A39" s="119" t="s">
        <v>311</v>
      </c>
      <c r="B39" s="102">
        <f t="shared" si="3"/>
        <v>0</v>
      </c>
      <c r="C39" s="106">
        <f t="shared" si="4"/>
        <v>0</v>
      </c>
      <c r="D39" s="75">
        <f t="shared" si="5"/>
        <v>0</v>
      </c>
      <c r="E39" s="75">
        <f t="shared" si="6"/>
        <v>0</v>
      </c>
      <c r="F39" s="47"/>
      <c r="G39" s="47"/>
      <c r="I39" s="164" t="s">
        <v>655</v>
      </c>
      <c r="J39" s="164"/>
      <c r="K39" s="163" t="str">
        <f>IF(VLOOKUP($I39,AmmoTypeDetail,COLUMN()-7,FALSE)=0,"",VLOOKUP($I39,AmmoTypeDetail,COLUMN()-7,FALSE))</f>
        <v/>
      </c>
      <c r="L39" s="163"/>
      <c r="M39" s="163"/>
      <c r="N39" s="163"/>
      <c r="O39" s="163"/>
    </row>
    <row r="40" spans="1:15" x14ac:dyDescent="0.25">
      <c r="A40" s="76" t="s">
        <v>311</v>
      </c>
      <c r="B40" s="103">
        <f t="shared" si="3"/>
        <v>0</v>
      </c>
      <c r="C40" s="107">
        <f t="shared" si="4"/>
        <v>0</v>
      </c>
      <c r="D40" s="70">
        <f t="shared" si="5"/>
        <v>0</v>
      </c>
      <c r="E40" s="70">
        <f t="shared" si="6"/>
        <v>0</v>
      </c>
      <c r="F40" s="47"/>
      <c r="G40" s="47"/>
      <c r="I40" s="165" t="s">
        <v>402</v>
      </c>
      <c r="J40" s="165"/>
      <c r="K40" s="93">
        <f>VLOOKUP($I40,AmmoDetail,COLUMN()-8,FALSE)*N40</f>
        <v>0</v>
      </c>
      <c r="L40" s="105">
        <f>VLOOKUP($I40,AmmoDetail,COLUMN()-8,FALSE)*N40*VLOOKUP($I41,AmmoTypeDetail,3,FALSE)</f>
        <v>0</v>
      </c>
      <c r="M40" s="93">
        <f>VLOOKUP($I40,AmmoDetail,COLUMN()-11,FALSE)</f>
        <v>0</v>
      </c>
      <c r="N40" s="28"/>
      <c r="O40" s="28"/>
    </row>
    <row r="41" spans="1:15" x14ac:dyDescent="0.25">
      <c r="A41" s="119" t="s">
        <v>311</v>
      </c>
      <c r="B41" s="102">
        <f t="shared" si="3"/>
        <v>0</v>
      </c>
      <c r="C41" s="106">
        <f t="shared" si="4"/>
        <v>0</v>
      </c>
      <c r="D41" s="75">
        <f t="shared" si="5"/>
        <v>0</v>
      </c>
      <c r="E41" s="75">
        <f t="shared" si="6"/>
        <v>0</v>
      </c>
      <c r="F41" s="47"/>
      <c r="G41" s="47"/>
      <c r="I41" s="166" t="s">
        <v>655</v>
      </c>
      <c r="J41" s="166"/>
      <c r="K41" s="139" t="str">
        <f>IF(VLOOKUP($I41,AmmoTypeDetail,COLUMN()-7,FALSE)=0,"",VLOOKUP($I41,AmmoTypeDetail,COLUMN()-7,FALSE))</f>
        <v/>
      </c>
      <c r="L41" s="139"/>
      <c r="M41" s="139"/>
      <c r="N41" s="139"/>
      <c r="O41" s="139"/>
    </row>
    <row r="42" spans="1:15" x14ac:dyDescent="0.25">
      <c r="A42" s="76" t="s">
        <v>311</v>
      </c>
      <c r="B42" s="103">
        <f t="shared" si="3"/>
        <v>0</v>
      </c>
      <c r="C42" s="107">
        <f t="shared" si="4"/>
        <v>0</v>
      </c>
      <c r="D42" s="70">
        <f t="shared" si="5"/>
        <v>0</v>
      </c>
      <c r="E42" s="70">
        <f t="shared" si="6"/>
        <v>0</v>
      </c>
      <c r="F42" s="47"/>
      <c r="G42" s="47"/>
      <c r="I42" s="167" t="s">
        <v>402</v>
      </c>
      <c r="J42" s="167"/>
      <c r="K42" s="92">
        <f>VLOOKUP($I42,AmmoDetail,COLUMN()-8,FALSE)*N42</f>
        <v>0</v>
      </c>
      <c r="L42" s="104">
        <f>VLOOKUP($I42,AmmoDetail,COLUMN()-8,FALSE)*N42*VLOOKUP($I43,AmmoTypeDetail,3,FALSE)</f>
        <v>0</v>
      </c>
      <c r="M42" s="92">
        <f>VLOOKUP($I42,AmmoDetail,COLUMN()-11,FALSE)</f>
        <v>0</v>
      </c>
      <c r="N42" s="28"/>
      <c r="O42" s="28"/>
    </row>
    <row r="43" spans="1:15" x14ac:dyDescent="0.25">
      <c r="A43" s="119" t="s">
        <v>311</v>
      </c>
      <c r="B43" s="102">
        <f t="shared" si="3"/>
        <v>0</v>
      </c>
      <c r="C43" s="106">
        <f t="shared" si="4"/>
        <v>0</v>
      </c>
      <c r="D43" s="75">
        <f t="shared" si="5"/>
        <v>0</v>
      </c>
      <c r="E43" s="75">
        <f t="shared" si="6"/>
        <v>0</v>
      </c>
      <c r="F43" s="47"/>
      <c r="G43" s="47"/>
      <c r="I43" s="164" t="s">
        <v>655</v>
      </c>
      <c r="J43" s="164"/>
      <c r="K43" s="163" t="str">
        <f>IF(VLOOKUP($I43,AmmoTypeDetail,COLUMN()-7,FALSE)=0,"",VLOOKUP($I43,AmmoTypeDetail,COLUMN()-7,FALSE))</f>
        <v/>
      </c>
      <c r="L43" s="163"/>
      <c r="M43" s="163"/>
      <c r="N43" s="163"/>
      <c r="O43" s="163"/>
    </row>
    <row r="44" spans="1:15" x14ac:dyDescent="0.25">
      <c r="A44" s="76" t="s">
        <v>311</v>
      </c>
      <c r="B44" s="103">
        <f t="shared" si="3"/>
        <v>0</v>
      </c>
      <c r="C44" s="107">
        <f t="shared" si="4"/>
        <v>0</v>
      </c>
      <c r="D44" s="70">
        <f t="shared" si="5"/>
        <v>0</v>
      </c>
      <c r="E44" s="70">
        <f t="shared" si="6"/>
        <v>0</v>
      </c>
      <c r="F44" s="47"/>
      <c r="G44" s="47"/>
      <c r="I44" s="165" t="s">
        <v>402</v>
      </c>
      <c r="J44" s="165"/>
      <c r="K44" s="93">
        <f>VLOOKUP($I44,AmmoDetail,COLUMN()-8,FALSE)*N44</f>
        <v>0</v>
      </c>
      <c r="L44" s="105">
        <f>VLOOKUP($I44,AmmoDetail,COLUMN()-8,FALSE)*N44*VLOOKUP($I45,AmmoTypeDetail,3,FALSE)</f>
        <v>0</v>
      </c>
      <c r="M44" s="93">
        <f>VLOOKUP($I44,AmmoDetail,COLUMN()-11,FALSE)</f>
        <v>0</v>
      </c>
      <c r="N44" s="28"/>
      <c r="O44" s="28"/>
    </row>
    <row r="45" spans="1:15" x14ac:dyDescent="0.25">
      <c r="A45" s="119" t="s">
        <v>311</v>
      </c>
      <c r="B45" s="102">
        <f t="shared" si="3"/>
        <v>0</v>
      </c>
      <c r="C45" s="106">
        <f t="shared" si="4"/>
        <v>0</v>
      </c>
      <c r="D45" s="75">
        <f t="shared" si="5"/>
        <v>0</v>
      </c>
      <c r="E45" s="75">
        <f t="shared" si="6"/>
        <v>0</v>
      </c>
      <c r="F45" s="47"/>
      <c r="G45" s="47"/>
      <c r="I45" s="166" t="s">
        <v>655</v>
      </c>
      <c r="J45" s="166"/>
      <c r="K45" s="139" t="str">
        <f>IF(VLOOKUP($I45,AmmoTypeDetail,COLUMN()-7,FALSE)=0,"",VLOOKUP($I45,AmmoTypeDetail,COLUMN()-7,FALSE))</f>
        <v/>
      </c>
      <c r="L45" s="139"/>
      <c r="M45" s="139"/>
      <c r="N45" s="139"/>
      <c r="O45" s="139"/>
    </row>
    <row r="219" spans="1:17" x14ac:dyDescent="0.25">
      <c r="M219" s="9"/>
      <c r="N219" s="9"/>
      <c r="O219" s="9"/>
      <c r="P219" s="9"/>
    </row>
    <row r="220" spans="1:17" x14ac:dyDescent="0.25"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</row>
    <row r="221" spans="1:17" x14ac:dyDescent="0.25"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7" x14ac:dyDescent="0.25">
      <c r="A222" s="2"/>
      <c r="B222" s="2"/>
      <c r="C222" s="2"/>
      <c r="D222" s="2"/>
      <c r="E222" s="2"/>
      <c r="F222" s="13"/>
      <c r="G222" s="9"/>
      <c r="H222" s="9"/>
      <c r="I222" s="9"/>
      <c r="J222" s="9"/>
      <c r="K222" s="9"/>
      <c r="L222" s="9"/>
      <c r="M222" s="8"/>
      <c r="N222" s="8"/>
      <c r="O222" s="8"/>
      <c r="P222" s="8"/>
      <c r="Q222" s="2"/>
    </row>
    <row r="223" spans="1:17" x14ac:dyDescent="0.25">
      <c r="A223" s="2"/>
      <c r="B223" s="3"/>
      <c r="C223" s="2"/>
      <c r="D223" s="2"/>
      <c r="E223" s="2"/>
      <c r="F223" s="2"/>
      <c r="G223" s="10"/>
      <c r="H223" s="8"/>
      <c r="I223" s="8"/>
      <c r="J223" s="8"/>
      <c r="K223" s="8"/>
      <c r="L223" s="8"/>
      <c r="M223" s="8"/>
      <c r="N223" s="8"/>
      <c r="O223" s="8"/>
      <c r="P223" s="8"/>
      <c r="Q223" s="2"/>
    </row>
    <row r="224" spans="1:17" x14ac:dyDescent="0.25">
      <c r="A224" s="2"/>
      <c r="B224" s="2"/>
      <c r="C224" s="2"/>
      <c r="D224" s="2"/>
      <c r="E224" s="2"/>
      <c r="F224" s="2"/>
      <c r="G224" s="10"/>
      <c r="H224" s="8"/>
      <c r="I224" s="11"/>
      <c r="J224" s="8"/>
      <c r="K224" s="8"/>
      <c r="L224" s="8"/>
      <c r="M224" s="8"/>
      <c r="N224" s="8"/>
      <c r="O224" s="8"/>
      <c r="P224" s="8"/>
      <c r="Q224" s="2"/>
    </row>
    <row r="225" spans="1:17" x14ac:dyDescent="0.25">
      <c r="A225" s="2"/>
      <c r="B225" s="2"/>
      <c r="C225" s="2"/>
      <c r="D225" s="2"/>
      <c r="E225" s="2"/>
      <c r="F225" s="2"/>
      <c r="G225" s="10"/>
      <c r="H225" s="8"/>
      <c r="I225" s="11"/>
      <c r="J225" s="8"/>
      <c r="K225" s="8"/>
      <c r="L225" s="8"/>
      <c r="M225" s="8"/>
      <c r="N225" s="8"/>
      <c r="O225" s="8"/>
      <c r="P225" s="8"/>
      <c r="Q225" s="2"/>
    </row>
    <row r="226" spans="1:17" x14ac:dyDescent="0.25">
      <c r="A226" s="2"/>
      <c r="B226" s="2"/>
      <c r="C226" s="2"/>
      <c r="D226" s="2"/>
      <c r="E226" s="2"/>
      <c r="F226" s="2"/>
      <c r="G226" s="10"/>
      <c r="H226" s="8"/>
      <c r="I226" s="8"/>
      <c r="J226" s="8"/>
      <c r="K226" s="8"/>
      <c r="L226" s="8"/>
      <c r="M226" s="8"/>
      <c r="N226" s="8"/>
      <c r="O226" s="8"/>
      <c r="P226" s="8"/>
      <c r="Q226" s="2"/>
    </row>
    <row r="227" spans="1:17" x14ac:dyDescent="0.25">
      <c r="A227" s="2"/>
      <c r="B227" s="3"/>
      <c r="C227" s="2"/>
      <c r="D227" s="2"/>
      <c r="E227" s="2"/>
      <c r="F227" s="2"/>
      <c r="G227" s="10"/>
      <c r="H227" s="8"/>
      <c r="I227" s="8"/>
      <c r="J227" s="8"/>
      <c r="K227" s="8"/>
      <c r="L227" s="8"/>
      <c r="M227" s="8"/>
      <c r="N227" s="8"/>
      <c r="O227" s="8"/>
      <c r="P227" s="8"/>
      <c r="Q227" s="2"/>
    </row>
    <row r="228" spans="1:17" x14ac:dyDescent="0.25">
      <c r="A228" s="2"/>
      <c r="B228" s="3"/>
      <c r="C228" s="2"/>
      <c r="D228" s="2"/>
      <c r="E228" s="2"/>
      <c r="F228" s="2"/>
      <c r="G228" s="10"/>
      <c r="H228" s="8"/>
      <c r="I228" s="8"/>
      <c r="J228" s="8"/>
      <c r="K228" s="8"/>
      <c r="L228" s="8"/>
      <c r="M228" s="8"/>
      <c r="N228" s="8"/>
      <c r="O228" s="8"/>
      <c r="P228" s="8"/>
      <c r="Q228" s="2"/>
    </row>
    <row r="229" spans="1:17" x14ac:dyDescent="0.25">
      <c r="A229" s="2"/>
      <c r="B229" s="3"/>
      <c r="C229" s="2"/>
      <c r="D229" s="2"/>
      <c r="E229" s="2"/>
      <c r="F229" s="2"/>
      <c r="G229" s="10"/>
      <c r="H229" s="8"/>
      <c r="I229" s="8"/>
      <c r="J229" s="8"/>
      <c r="K229" s="8"/>
      <c r="L229" s="8"/>
      <c r="M229" s="8"/>
      <c r="N229" s="8"/>
      <c r="O229" s="8"/>
      <c r="P229" s="8"/>
      <c r="Q229" s="2"/>
    </row>
    <row r="230" spans="1:17" x14ac:dyDescent="0.25">
      <c r="A230" s="2"/>
      <c r="B230" s="3"/>
      <c r="C230" s="2"/>
      <c r="D230" s="2"/>
      <c r="E230" s="2"/>
      <c r="F230" s="2"/>
      <c r="G230" s="10"/>
      <c r="H230" s="8"/>
      <c r="I230" s="8"/>
      <c r="J230" s="8"/>
      <c r="K230" s="8"/>
      <c r="L230" s="8"/>
      <c r="M230" s="8"/>
      <c r="N230" s="8"/>
      <c r="O230" s="8"/>
      <c r="P230" s="8"/>
      <c r="Q230" s="2"/>
    </row>
    <row r="231" spans="1:17" x14ac:dyDescent="0.25">
      <c r="A231" s="2"/>
      <c r="B231" s="2"/>
      <c r="C231" s="2"/>
      <c r="D231" s="2"/>
      <c r="E231" s="2"/>
      <c r="F231" s="2"/>
      <c r="G231" s="10"/>
      <c r="H231" s="8"/>
      <c r="I231" s="8"/>
      <c r="J231" s="8"/>
      <c r="K231" s="8"/>
      <c r="L231" s="8"/>
      <c r="M231" s="8"/>
      <c r="N231" s="8"/>
      <c r="O231" s="8"/>
      <c r="P231" s="8"/>
      <c r="Q231" s="2"/>
    </row>
    <row r="232" spans="1:17" x14ac:dyDescent="0.25">
      <c r="A232" s="2"/>
      <c r="B232" s="2"/>
      <c r="C232" s="2"/>
      <c r="D232" s="2"/>
      <c r="E232" s="2"/>
      <c r="F232" s="2"/>
      <c r="G232" s="10"/>
      <c r="H232" s="8"/>
      <c r="I232" s="8"/>
      <c r="J232" s="8"/>
      <c r="K232" s="8"/>
      <c r="L232" s="8"/>
      <c r="M232" s="8"/>
      <c r="N232" s="8"/>
      <c r="O232" s="8"/>
      <c r="P232" s="8"/>
      <c r="Q232" s="2"/>
    </row>
    <row r="233" spans="1:17" x14ac:dyDescent="0.25">
      <c r="A233" s="2"/>
      <c r="B233" s="3"/>
      <c r="C233" s="2"/>
      <c r="D233" s="2"/>
      <c r="E233" s="2"/>
      <c r="F233" s="2"/>
      <c r="G233" s="10"/>
      <c r="H233" s="8"/>
      <c r="I233" s="8"/>
      <c r="J233" s="8"/>
      <c r="K233" s="16"/>
      <c r="L233" s="8"/>
      <c r="M233" s="8"/>
      <c r="N233" s="8"/>
      <c r="O233" s="8"/>
      <c r="P233" s="8"/>
      <c r="Q233" s="2"/>
    </row>
    <row r="234" spans="1:17" x14ac:dyDescent="0.25">
      <c r="A234" s="2"/>
      <c r="B234" s="3"/>
      <c r="C234" s="2"/>
      <c r="D234" s="2"/>
      <c r="E234" s="2"/>
      <c r="F234" s="2"/>
      <c r="G234" s="10"/>
      <c r="H234" s="8"/>
      <c r="I234" s="8"/>
      <c r="J234" s="8"/>
      <c r="K234" s="16"/>
      <c r="L234" s="8"/>
      <c r="M234" s="8"/>
      <c r="N234" s="8"/>
      <c r="O234" s="8"/>
      <c r="P234" s="8"/>
      <c r="Q234" s="2"/>
    </row>
    <row r="235" spans="1:17" x14ac:dyDescent="0.25">
      <c r="A235" s="2"/>
      <c r="B235" s="3"/>
      <c r="C235" s="2"/>
      <c r="D235" s="2"/>
      <c r="E235" s="2"/>
      <c r="F235" s="2"/>
      <c r="G235" s="10"/>
      <c r="H235" s="8"/>
      <c r="I235" s="8"/>
      <c r="J235" s="8"/>
      <c r="K235" s="16"/>
      <c r="L235" s="8"/>
      <c r="M235" s="8"/>
      <c r="N235" s="8"/>
      <c r="O235" s="8"/>
      <c r="P235" s="8"/>
      <c r="Q235" s="2"/>
    </row>
    <row r="236" spans="1:17" x14ac:dyDescent="0.25">
      <c r="A236" s="2"/>
      <c r="B236" s="3"/>
      <c r="C236" s="2"/>
      <c r="D236" s="2"/>
      <c r="E236" s="2"/>
      <c r="F236" s="2"/>
      <c r="G236" s="10"/>
      <c r="H236" s="8"/>
      <c r="I236" s="8"/>
      <c r="J236" s="8"/>
      <c r="K236" s="16"/>
      <c r="L236" s="8"/>
      <c r="M236" s="8"/>
      <c r="N236" s="8"/>
      <c r="O236" s="8"/>
      <c r="P236" s="8"/>
      <c r="Q236" s="2"/>
    </row>
    <row r="237" spans="1:17" x14ac:dyDescent="0.25">
      <c r="A237" s="2"/>
      <c r="B237" s="2"/>
      <c r="C237" s="2"/>
      <c r="D237" s="2"/>
      <c r="E237" s="2"/>
      <c r="F237" s="2"/>
      <c r="G237" s="10"/>
      <c r="H237" s="8"/>
      <c r="I237" s="8"/>
      <c r="J237" s="8"/>
      <c r="K237" s="16"/>
      <c r="L237" s="8"/>
      <c r="M237" s="8"/>
      <c r="N237" s="8"/>
      <c r="O237" s="8"/>
      <c r="P237" s="8"/>
      <c r="Q237" s="2"/>
    </row>
    <row r="238" spans="1:17" x14ac:dyDescent="0.25">
      <c r="A238" s="2"/>
      <c r="B238" s="2"/>
      <c r="C238" s="2"/>
      <c r="D238" s="2"/>
      <c r="E238" s="2"/>
      <c r="F238" s="2"/>
      <c r="G238" s="10"/>
      <c r="H238" s="8"/>
      <c r="I238" s="8"/>
      <c r="J238" s="8"/>
      <c r="K238" s="16"/>
      <c r="L238" s="8"/>
      <c r="M238" s="8"/>
      <c r="N238" s="8"/>
      <c r="O238" s="8"/>
      <c r="P238" s="8"/>
      <c r="Q238" s="2"/>
    </row>
    <row r="239" spans="1:17" x14ac:dyDescent="0.25">
      <c r="A239" s="2"/>
      <c r="B239" s="3"/>
      <c r="C239" s="2"/>
      <c r="D239" s="2"/>
      <c r="E239" s="2"/>
      <c r="F239" s="2"/>
      <c r="G239" s="10"/>
      <c r="H239" s="8"/>
      <c r="I239" s="8"/>
      <c r="J239" s="8"/>
      <c r="K239" s="16"/>
      <c r="L239" s="8"/>
      <c r="M239" s="8"/>
      <c r="N239" s="8"/>
      <c r="O239" s="8"/>
      <c r="P239" s="8"/>
      <c r="Q239" s="2"/>
    </row>
    <row r="240" spans="1:17" x14ac:dyDescent="0.25">
      <c r="A240" s="2"/>
      <c r="B240" s="3"/>
      <c r="C240" s="2"/>
      <c r="D240" s="2"/>
      <c r="E240" s="2"/>
      <c r="F240" s="2"/>
      <c r="G240" s="10"/>
      <c r="H240" s="8"/>
      <c r="I240" s="8"/>
      <c r="J240" s="8"/>
      <c r="K240" s="16"/>
      <c r="L240" s="8"/>
      <c r="M240" s="9"/>
      <c r="N240" s="9"/>
      <c r="O240" s="9"/>
      <c r="P240" s="9"/>
    </row>
    <row r="241" spans="1:17" x14ac:dyDescent="0.25">
      <c r="A241" s="2"/>
      <c r="B241" s="3"/>
      <c r="C241" s="2"/>
      <c r="D241" s="2"/>
      <c r="E241" s="2"/>
      <c r="F241" s="14"/>
      <c r="G241" s="9"/>
      <c r="H241" s="9"/>
      <c r="I241" s="9"/>
      <c r="J241" s="9"/>
      <c r="K241" s="9"/>
      <c r="L241" s="9"/>
      <c r="M241" s="8"/>
      <c r="N241" s="8"/>
      <c r="O241" s="8"/>
      <c r="P241" s="8"/>
      <c r="Q241" s="2"/>
    </row>
    <row r="242" spans="1:17" x14ac:dyDescent="0.25">
      <c r="A242" s="2"/>
      <c r="B242" s="3"/>
      <c r="C242" s="2"/>
      <c r="D242" s="2"/>
      <c r="E242" s="2"/>
      <c r="F242" s="2"/>
      <c r="G242" s="10"/>
      <c r="H242" s="8"/>
      <c r="I242" s="8"/>
      <c r="J242" s="8"/>
      <c r="K242" s="8"/>
      <c r="L242" s="8"/>
      <c r="M242" s="8"/>
      <c r="N242" s="8"/>
      <c r="O242" s="8"/>
      <c r="P242" s="8"/>
      <c r="Q242" s="2"/>
    </row>
    <row r="243" spans="1:17" x14ac:dyDescent="0.25">
      <c r="A243" s="2"/>
      <c r="B243" s="3"/>
      <c r="C243" s="2"/>
      <c r="D243" s="2"/>
      <c r="E243" s="2"/>
      <c r="F243" s="2"/>
      <c r="G243" s="10"/>
      <c r="H243" s="8"/>
      <c r="I243" s="12"/>
      <c r="J243" s="8"/>
      <c r="K243" s="8"/>
      <c r="L243" s="8"/>
      <c r="M243" s="8"/>
      <c r="N243" s="8"/>
      <c r="O243" s="8"/>
      <c r="P243" s="8"/>
      <c r="Q243" s="2"/>
    </row>
    <row r="244" spans="1:17" x14ac:dyDescent="0.25">
      <c r="A244" s="2"/>
      <c r="B244" s="3"/>
      <c r="C244" s="2"/>
      <c r="D244" s="2"/>
      <c r="E244" s="2"/>
      <c r="F244" s="2"/>
      <c r="G244" s="10"/>
      <c r="H244" s="8"/>
      <c r="I244" s="12"/>
      <c r="J244" s="8"/>
      <c r="K244" s="8"/>
      <c r="L244" s="8"/>
      <c r="M244" s="8"/>
      <c r="N244" s="8"/>
      <c r="O244" s="8"/>
      <c r="P244" s="8"/>
      <c r="Q244" s="2"/>
    </row>
    <row r="245" spans="1:17" x14ac:dyDescent="0.25">
      <c r="A245" s="2"/>
      <c r="B245" s="2"/>
      <c r="C245" s="2"/>
      <c r="D245" s="2"/>
      <c r="E245" s="2"/>
      <c r="F245" s="2"/>
      <c r="G245" s="10"/>
      <c r="H245" s="8"/>
      <c r="I245" s="8"/>
      <c r="J245" s="8"/>
      <c r="K245" s="8"/>
      <c r="L245" s="8"/>
      <c r="M245" s="8"/>
      <c r="N245" s="8"/>
      <c r="O245" s="8"/>
      <c r="P245" s="8"/>
      <c r="Q245" s="2"/>
    </row>
    <row r="246" spans="1:17" x14ac:dyDescent="0.25">
      <c r="A246" s="2"/>
      <c r="B246" s="2"/>
      <c r="C246" s="2"/>
      <c r="D246" s="2"/>
      <c r="E246" s="2"/>
      <c r="F246" s="2"/>
      <c r="G246" s="10"/>
      <c r="H246" s="8"/>
      <c r="I246" s="12"/>
      <c r="J246" s="8"/>
      <c r="K246" s="8"/>
      <c r="L246" s="8"/>
      <c r="M246" s="8"/>
      <c r="N246" s="8"/>
      <c r="O246" s="8"/>
      <c r="P246" s="8"/>
      <c r="Q246" s="2"/>
    </row>
    <row r="247" spans="1:17" x14ac:dyDescent="0.25">
      <c r="A247" s="2"/>
      <c r="B247" s="3"/>
      <c r="C247" s="2"/>
      <c r="D247" s="2"/>
      <c r="E247" s="2"/>
      <c r="F247" s="2"/>
      <c r="G247" s="10"/>
      <c r="H247" s="8"/>
      <c r="I247" s="8"/>
      <c r="J247" s="8"/>
      <c r="K247" s="8"/>
      <c r="L247" s="8"/>
      <c r="M247" s="8"/>
      <c r="N247" s="8"/>
      <c r="O247" s="8"/>
      <c r="P247" s="8"/>
      <c r="Q247" s="2"/>
    </row>
    <row r="248" spans="1:17" x14ac:dyDescent="0.25">
      <c r="A248" s="2"/>
      <c r="B248" s="3"/>
      <c r="C248" s="2"/>
      <c r="D248" s="2"/>
      <c r="E248" s="2"/>
      <c r="F248" s="2"/>
      <c r="G248" s="10"/>
      <c r="H248" s="8"/>
      <c r="I248" s="8"/>
      <c r="J248" s="8"/>
      <c r="K248" s="8"/>
      <c r="L248" s="8"/>
      <c r="M248" s="8"/>
      <c r="N248" s="8"/>
      <c r="O248" s="8"/>
      <c r="P248" s="8"/>
      <c r="Q248" s="2"/>
    </row>
    <row r="249" spans="1:17" x14ac:dyDescent="0.25">
      <c r="A249" s="2"/>
      <c r="B249" s="3"/>
      <c r="C249" s="2"/>
      <c r="D249" s="2"/>
      <c r="E249" s="2"/>
      <c r="F249" s="2"/>
      <c r="G249" s="10"/>
      <c r="H249" s="8"/>
      <c r="I249" s="8"/>
      <c r="J249" s="8"/>
      <c r="K249" s="8"/>
      <c r="L249" s="8"/>
      <c r="M249" s="8"/>
      <c r="N249" s="8"/>
      <c r="O249" s="8"/>
      <c r="P249" s="8"/>
      <c r="Q249" s="2"/>
    </row>
    <row r="250" spans="1:17" x14ac:dyDescent="0.25">
      <c r="A250" s="2"/>
      <c r="B250" s="3"/>
      <c r="C250" s="2"/>
      <c r="D250" s="2"/>
      <c r="E250" s="2"/>
      <c r="F250" s="2"/>
      <c r="G250" s="11"/>
      <c r="H250" s="8"/>
      <c r="I250" s="8"/>
      <c r="J250" s="8"/>
      <c r="K250" s="8"/>
      <c r="L250" s="8"/>
      <c r="M250" s="8"/>
      <c r="N250" s="8"/>
      <c r="O250" s="8"/>
      <c r="P250" s="8"/>
      <c r="Q250" s="2"/>
    </row>
    <row r="251" spans="1:17" x14ac:dyDescent="0.25">
      <c r="A251" s="2"/>
      <c r="B251" s="3"/>
      <c r="C251" s="2"/>
      <c r="D251" s="2"/>
      <c r="E251" s="2"/>
      <c r="F251" s="2"/>
      <c r="G251" s="11"/>
      <c r="H251" s="8"/>
      <c r="I251" s="8"/>
      <c r="J251" s="8"/>
      <c r="K251" s="16"/>
      <c r="L251" s="8"/>
      <c r="M251" s="8"/>
      <c r="N251" s="8"/>
      <c r="O251" s="8"/>
      <c r="P251" s="8"/>
      <c r="Q251" s="2"/>
    </row>
    <row r="252" spans="1:17" x14ac:dyDescent="0.25">
      <c r="A252" s="2"/>
      <c r="B252" s="3"/>
      <c r="C252" s="2"/>
      <c r="D252" s="2"/>
      <c r="E252" s="2"/>
      <c r="F252" s="2"/>
      <c r="G252" s="10"/>
      <c r="H252" s="8"/>
      <c r="I252" s="8"/>
      <c r="J252" s="8"/>
      <c r="K252" s="16"/>
      <c r="L252" s="8"/>
      <c r="M252" s="8"/>
      <c r="N252" s="8"/>
      <c r="O252" s="8"/>
      <c r="P252" s="8"/>
      <c r="Q252" s="2"/>
    </row>
    <row r="253" spans="1:17" x14ac:dyDescent="0.25">
      <c r="A253" s="2"/>
      <c r="B253" s="3"/>
      <c r="C253" s="2"/>
      <c r="D253" s="2"/>
      <c r="E253" s="2"/>
      <c r="F253" s="2"/>
      <c r="G253" s="10"/>
      <c r="H253" s="8"/>
      <c r="I253" s="8"/>
      <c r="J253" s="8"/>
      <c r="K253" s="16"/>
      <c r="L253" s="8"/>
      <c r="M253" s="8"/>
      <c r="N253" s="8"/>
      <c r="O253" s="8"/>
      <c r="P253" s="8"/>
      <c r="Q253" s="2"/>
    </row>
    <row r="254" spans="1:17" x14ac:dyDescent="0.25">
      <c r="A254" s="2"/>
      <c r="B254" s="3"/>
      <c r="C254" s="2"/>
      <c r="D254" s="2"/>
      <c r="E254" s="2"/>
      <c r="F254" s="2"/>
      <c r="G254" s="10"/>
      <c r="H254" s="8"/>
      <c r="I254" s="8"/>
      <c r="J254" s="8"/>
      <c r="K254" s="16"/>
      <c r="L254" s="8"/>
      <c r="M254" s="8"/>
      <c r="N254" s="8"/>
      <c r="O254" s="8"/>
      <c r="P254" s="8"/>
      <c r="Q254" s="2"/>
    </row>
    <row r="255" spans="1:17" x14ac:dyDescent="0.25">
      <c r="A255" s="2"/>
      <c r="B255" s="3"/>
      <c r="C255" s="2"/>
      <c r="D255" s="2"/>
      <c r="E255" s="2"/>
      <c r="F255" s="2"/>
      <c r="G255" s="10"/>
      <c r="H255" s="8"/>
      <c r="I255" s="8"/>
      <c r="J255" s="8"/>
      <c r="K255" s="16"/>
      <c r="L255" s="8"/>
      <c r="M255" s="8"/>
      <c r="N255" s="8"/>
      <c r="O255" s="8"/>
      <c r="P255" s="8"/>
      <c r="Q255" s="2"/>
    </row>
    <row r="256" spans="1:17" x14ac:dyDescent="0.25">
      <c r="A256" s="2"/>
      <c r="B256" s="3"/>
      <c r="C256" s="2"/>
      <c r="D256" s="2"/>
      <c r="E256" s="2"/>
      <c r="F256" s="2"/>
      <c r="G256" s="10"/>
      <c r="H256" s="8"/>
      <c r="I256" s="8"/>
      <c r="J256" s="8"/>
      <c r="K256" s="16"/>
      <c r="L256" s="8"/>
      <c r="M256" s="8"/>
      <c r="N256" s="8"/>
      <c r="O256" s="8"/>
      <c r="P256" s="8"/>
      <c r="Q256" s="2"/>
    </row>
    <row r="257" spans="1:17" x14ac:dyDescent="0.25">
      <c r="A257" s="2"/>
      <c r="B257" s="3"/>
      <c r="C257" s="2"/>
      <c r="D257" s="2"/>
      <c r="E257" s="2"/>
      <c r="F257" s="2"/>
      <c r="G257" s="10"/>
      <c r="H257" s="8"/>
      <c r="I257" s="8"/>
      <c r="J257" s="8"/>
      <c r="K257" s="16"/>
      <c r="L257" s="8"/>
      <c r="M257" s="8"/>
      <c r="N257" s="8"/>
      <c r="O257" s="8"/>
      <c r="P257" s="8"/>
      <c r="Q257" s="2"/>
    </row>
    <row r="258" spans="1:17" x14ac:dyDescent="0.25">
      <c r="A258" s="2"/>
      <c r="B258" s="3"/>
      <c r="C258" s="2"/>
      <c r="D258" s="2"/>
      <c r="E258" s="2"/>
      <c r="F258" s="2"/>
      <c r="G258" s="10"/>
      <c r="H258" s="8"/>
      <c r="I258" s="8"/>
      <c r="J258" s="8"/>
      <c r="K258" s="16"/>
      <c r="L258" s="8"/>
      <c r="M258" s="8"/>
      <c r="N258" s="8"/>
      <c r="O258" s="8"/>
      <c r="P258" s="8"/>
      <c r="Q258" s="2"/>
    </row>
    <row r="259" spans="1:17" x14ac:dyDescent="0.25">
      <c r="A259" s="2"/>
      <c r="B259" s="3"/>
      <c r="C259" s="2"/>
      <c r="D259" s="2"/>
      <c r="E259" s="2"/>
      <c r="F259" s="2"/>
      <c r="G259" s="10"/>
      <c r="H259" s="8"/>
      <c r="I259" s="8"/>
      <c r="J259" s="8"/>
      <c r="K259" s="16"/>
      <c r="L259" s="8"/>
      <c r="M259" s="8"/>
      <c r="N259" s="8"/>
      <c r="O259" s="8"/>
      <c r="P259" s="8"/>
      <c r="Q259" s="2"/>
    </row>
    <row r="260" spans="1:17" x14ac:dyDescent="0.25">
      <c r="A260" s="2"/>
      <c r="B260" s="3"/>
      <c r="C260" s="2"/>
      <c r="D260" s="2"/>
      <c r="E260" s="2"/>
      <c r="F260" s="2"/>
      <c r="G260" s="10"/>
      <c r="H260" s="8"/>
      <c r="I260" s="8"/>
      <c r="J260" s="8"/>
      <c r="K260" s="16"/>
      <c r="L260" s="8"/>
      <c r="M260" s="8"/>
      <c r="N260" s="8"/>
      <c r="O260" s="8"/>
      <c r="P260" s="8"/>
      <c r="Q260" s="2"/>
    </row>
    <row r="261" spans="1:17" x14ac:dyDescent="0.25">
      <c r="A261" s="2"/>
      <c r="B261" s="3"/>
      <c r="C261" s="2"/>
      <c r="D261" s="2"/>
      <c r="E261" s="2"/>
      <c r="F261" s="2"/>
      <c r="G261" s="10"/>
      <c r="H261" s="8"/>
      <c r="I261" s="8"/>
      <c r="J261" s="8"/>
      <c r="K261" s="16"/>
      <c r="L261" s="8"/>
      <c r="M261" s="8"/>
      <c r="N261" s="8"/>
      <c r="O261" s="8"/>
      <c r="P261" s="8"/>
      <c r="Q261" s="2"/>
    </row>
    <row r="262" spans="1:17" x14ac:dyDescent="0.25">
      <c r="A262" s="5"/>
      <c r="B262" s="5"/>
      <c r="C262" s="5"/>
      <c r="D262" s="5"/>
      <c r="E262" s="5"/>
      <c r="F262" s="2"/>
      <c r="G262" s="10"/>
      <c r="H262" s="8"/>
      <c r="I262" s="8"/>
      <c r="J262" s="8"/>
      <c r="K262" s="16"/>
      <c r="L262" s="8"/>
      <c r="M262" s="8"/>
      <c r="N262" s="8"/>
      <c r="O262" s="8"/>
      <c r="P262" s="8"/>
      <c r="Q262" s="2"/>
    </row>
    <row r="263" spans="1:17" x14ac:dyDescent="0.25">
      <c r="A263" s="5"/>
      <c r="B263" s="5"/>
      <c r="C263" s="5"/>
      <c r="D263" s="5"/>
      <c r="E263" s="5"/>
      <c r="F263" s="2"/>
      <c r="G263" s="10"/>
      <c r="H263" s="8"/>
      <c r="I263" s="8"/>
      <c r="J263" s="8"/>
      <c r="K263" s="16"/>
      <c r="L263" s="8"/>
      <c r="M263" s="8"/>
      <c r="N263" s="8"/>
      <c r="O263" s="8"/>
      <c r="P263" s="8"/>
      <c r="Q263" s="2"/>
    </row>
    <row r="264" spans="1:17" x14ac:dyDescent="0.25">
      <c r="A264" s="5"/>
      <c r="B264" s="5"/>
      <c r="C264" s="5"/>
      <c r="D264" s="5"/>
      <c r="E264" s="5"/>
      <c r="F264" s="2"/>
      <c r="G264" s="10"/>
      <c r="H264" s="8"/>
      <c r="I264" s="8"/>
      <c r="J264" s="8"/>
      <c r="K264" s="16"/>
      <c r="L264" s="8"/>
      <c r="M264" s="9"/>
      <c r="N264" s="9"/>
      <c r="O264" s="9"/>
      <c r="P264" s="9"/>
    </row>
    <row r="265" spans="1:17" x14ac:dyDescent="0.25">
      <c r="A265" s="5"/>
      <c r="B265" s="5"/>
      <c r="C265" s="5"/>
      <c r="D265" s="5"/>
      <c r="E265" s="5"/>
      <c r="F265" s="15"/>
      <c r="G265" s="9"/>
      <c r="H265" s="9"/>
      <c r="I265" s="9"/>
      <c r="J265" s="9"/>
      <c r="K265" s="9"/>
      <c r="L265" s="9"/>
      <c r="M265" s="8"/>
      <c r="N265" s="8"/>
      <c r="O265" s="8"/>
      <c r="P265" s="8"/>
      <c r="Q265" s="2"/>
    </row>
    <row r="266" spans="1:17" x14ac:dyDescent="0.25">
      <c r="A266" s="5"/>
      <c r="B266" s="5"/>
      <c r="C266" s="5"/>
      <c r="D266" s="5"/>
      <c r="E266" s="5"/>
      <c r="F266" s="2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2"/>
    </row>
    <row r="267" spans="1:17" x14ac:dyDescent="0.25">
      <c r="A267" s="5"/>
      <c r="B267" s="6"/>
      <c r="C267" s="168"/>
      <c r="D267" s="168"/>
      <c r="E267" s="168"/>
      <c r="F267" s="2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2"/>
    </row>
    <row r="268" spans="1:17" x14ac:dyDescent="0.25">
      <c r="A268" s="5"/>
      <c r="B268" s="6"/>
      <c r="C268" s="168"/>
      <c r="D268" s="168"/>
      <c r="E268" s="168"/>
      <c r="F268" s="2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2"/>
    </row>
    <row r="269" spans="1:17" x14ac:dyDescent="0.25">
      <c r="A269" s="5"/>
      <c r="B269" s="5"/>
      <c r="C269" s="5"/>
      <c r="D269" s="5"/>
      <c r="E269" s="5"/>
      <c r="F269" s="2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2"/>
    </row>
    <row r="270" spans="1:17" x14ac:dyDescent="0.25">
      <c r="A270" s="5"/>
      <c r="B270" s="5"/>
      <c r="C270" s="5"/>
      <c r="D270" s="5"/>
      <c r="E270" s="5"/>
      <c r="F270" s="2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2"/>
    </row>
    <row r="271" spans="1:17" x14ac:dyDescent="0.25">
      <c r="A271" s="5"/>
      <c r="B271" s="5"/>
      <c r="C271" s="5"/>
      <c r="D271" s="5"/>
      <c r="E271" s="5"/>
      <c r="F271" s="2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2"/>
    </row>
    <row r="272" spans="1:17" x14ac:dyDescent="0.25">
      <c r="A272" s="5"/>
      <c r="B272" s="5"/>
      <c r="C272" s="5"/>
      <c r="D272" s="5"/>
      <c r="E272" s="5"/>
      <c r="F272" s="2"/>
      <c r="G272" s="8"/>
      <c r="H272" s="8"/>
      <c r="I272" s="8"/>
      <c r="J272" s="8"/>
      <c r="K272" s="16"/>
      <c r="L272" s="8"/>
      <c r="M272" s="8"/>
      <c r="N272" s="8"/>
      <c r="O272" s="8"/>
      <c r="P272" s="8"/>
      <c r="Q272" s="2"/>
    </row>
    <row r="273" spans="1:17" x14ac:dyDescent="0.25">
      <c r="A273" s="5"/>
      <c r="B273" s="5"/>
      <c r="C273" s="5"/>
      <c r="D273" s="5"/>
      <c r="E273" s="5"/>
      <c r="F273" s="2"/>
      <c r="G273" s="8"/>
      <c r="H273" s="8"/>
      <c r="I273" s="8"/>
      <c r="J273" s="8"/>
      <c r="K273" s="16"/>
      <c r="L273" s="8"/>
      <c r="M273" s="8"/>
      <c r="N273" s="8"/>
      <c r="O273" s="8"/>
      <c r="P273" s="8"/>
      <c r="Q273" s="2"/>
    </row>
    <row r="274" spans="1:17" x14ac:dyDescent="0.25">
      <c r="A274" s="5"/>
      <c r="B274" s="5"/>
      <c r="C274" s="5"/>
      <c r="D274" s="5"/>
      <c r="E274" s="5"/>
      <c r="F274" s="2"/>
      <c r="G274" s="8"/>
      <c r="H274" s="8"/>
      <c r="I274" s="8"/>
      <c r="J274" s="8"/>
      <c r="K274" s="16"/>
      <c r="L274" s="8"/>
      <c r="M274" s="8"/>
      <c r="N274" s="8"/>
      <c r="O274" s="8"/>
      <c r="P274" s="8"/>
      <c r="Q274" s="2"/>
    </row>
    <row r="275" spans="1:17" x14ac:dyDescent="0.25">
      <c r="A275" s="5"/>
      <c r="B275" s="5"/>
      <c r="C275" s="5"/>
      <c r="D275" s="5"/>
      <c r="E275" s="5"/>
      <c r="F275" s="2"/>
      <c r="G275" s="8"/>
      <c r="H275" s="8"/>
      <c r="I275" s="8"/>
      <c r="J275" s="8"/>
      <c r="K275" s="16"/>
      <c r="L275" s="8"/>
      <c r="M275" s="8"/>
      <c r="N275" s="8"/>
      <c r="O275" s="8"/>
      <c r="P275" s="8"/>
      <c r="Q275" s="2"/>
    </row>
    <row r="276" spans="1:17" x14ac:dyDescent="0.25">
      <c r="A276" s="5"/>
      <c r="B276" s="5"/>
      <c r="C276" s="5"/>
      <c r="D276" s="5"/>
      <c r="E276" s="5"/>
      <c r="F276" s="2"/>
      <c r="G276" s="8"/>
      <c r="H276" s="8"/>
      <c r="I276" s="8"/>
      <c r="J276" s="8"/>
      <c r="K276" s="16"/>
      <c r="L276" s="8"/>
      <c r="M276" s="8"/>
      <c r="N276" s="8"/>
      <c r="O276" s="8"/>
      <c r="P276" s="8"/>
      <c r="Q276" s="2"/>
    </row>
    <row r="277" spans="1:17" x14ac:dyDescent="0.25">
      <c r="A277" s="5"/>
      <c r="B277" s="5"/>
      <c r="C277" s="5"/>
      <c r="D277" s="5"/>
      <c r="E277" s="5"/>
      <c r="F277" s="2"/>
      <c r="G277" s="8"/>
      <c r="H277" s="8"/>
      <c r="I277" s="8"/>
      <c r="J277" s="8"/>
      <c r="K277" s="16"/>
      <c r="L277" s="8"/>
      <c r="M277" s="8"/>
      <c r="N277" s="8"/>
      <c r="O277" s="8"/>
      <c r="P277" s="8"/>
      <c r="Q277" s="2"/>
    </row>
    <row r="278" spans="1:17" x14ac:dyDescent="0.25">
      <c r="A278" s="5"/>
      <c r="B278" s="5"/>
      <c r="C278" s="5"/>
      <c r="D278" s="5"/>
      <c r="E278" s="5"/>
      <c r="F278" s="2"/>
      <c r="G278" s="8"/>
      <c r="H278" s="8"/>
      <c r="I278" s="8"/>
      <c r="J278" s="8"/>
      <c r="K278" s="16"/>
      <c r="L278" s="8"/>
      <c r="M278" s="8"/>
      <c r="N278" s="8"/>
      <c r="O278" s="8"/>
      <c r="P278" s="8"/>
      <c r="Q278" s="2"/>
    </row>
    <row r="279" spans="1:17" x14ac:dyDescent="0.25">
      <c r="A279" s="5"/>
      <c r="B279" s="5"/>
      <c r="C279" s="5"/>
      <c r="D279" s="5"/>
      <c r="E279" s="5"/>
      <c r="F279" s="2"/>
      <c r="G279" s="8"/>
      <c r="H279" s="8"/>
      <c r="I279" s="8"/>
      <c r="J279" s="8"/>
      <c r="K279" s="16"/>
      <c r="L279" s="8"/>
      <c r="M279" s="8"/>
      <c r="N279" s="8"/>
      <c r="O279" s="8"/>
      <c r="P279" s="8"/>
      <c r="Q279" s="2"/>
    </row>
    <row r="280" spans="1:17" x14ac:dyDescent="0.25">
      <c r="A280" s="5"/>
      <c r="B280" s="5"/>
      <c r="C280" s="5"/>
      <c r="D280" s="5"/>
      <c r="E280" s="5"/>
      <c r="F280" s="2"/>
      <c r="G280" s="8"/>
      <c r="H280" s="8"/>
      <c r="I280" s="8"/>
      <c r="J280" s="8"/>
      <c r="K280" s="16"/>
      <c r="L280" s="8"/>
      <c r="M280" s="8"/>
      <c r="N280" s="8"/>
      <c r="O280" s="8"/>
      <c r="P280" s="8"/>
      <c r="Q280" s="2"/>
    </row>
    <row r="281" spans="1:17" x14ac:dyDescent="0.25">
      <c r="A281" s="5"/>
      <c r="B281" s="5"/>
      <c r="C281" s="5"/>
      <c r="D281" s="5"/>
      <c r="E281" s="5"/>
      <c r="F281" s="2"/>
      <c r="G281" s="8"/>
      <c r="H281" s="8"/>
      <c r="I281" s="8"/>
      <c r="J281" s="8"/>
      <c r="K281" s="16"/>
      <c r="L281" s="8"/>
      <c r="M281" s="9"/>
      <c r="N281" s="9"/>
      <c r="O281" s="9"/>
      <c r="P281" s="9"/>
    </row>
    <row r="282" spans="1:17" x14ac:dyDescent="0.25">
      <c r="A282" s="5"/>
      <c r="B282" s="5"/>
      <c r="C282" s="5"/>
      <c r="D282" s="5"/>
      <c r="E282" s="5"/>
      <c r="F282" s="4"/>
      <c r="G282" s="9"/>
      <c r="H282" s="9"/>
      <c r="I282" s="9"/>
      <c r="J282" s="9"/>
      <c r="K282" s="9"/>
      <c r="L282" s="9"/>
      <c r="M282" s="8"/>
      <c r="N282" s="8"/>
      <c r="O282" s="8"/>
      <c r="P282" s="8"/>
      <c r="Q282" s="2"/>
    </row>
    <row r="283" spans="1:17" x14ac:dyDescent="0.25">
      <c r="A283" s="5"/>
      <c r="B283" s="5"/>
      <c r="C283" s="5"/>
      <c r="D283" s="5"/>
      <c r="E283" s="5"/>
      <c r="F283" s="2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2"/>
    </row>
    <row r="284" spans="1:17" x14ac:dyDescent="0.25">
      <c r="A284" s="5"/>
      <c r="B284" s="5"/>
      <c r="C284" s="5"/>
      <c r="D284" s="5"/>
      <c r="E284" s="5"/>
      <c r="F284" s="2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2"/>
    </row>
    <row r="285" spans="1:17" x14ac:dyDescent="0.25">
      <c r="A285" s="5"/>
      <c r="B285" s="5"/>
      <c r="C285" s="5"/>
      <c r="D285" s="5"/>
      <c r="E285" s="5"/>
      <c r="F285" s="2"/>
      <c r="G285" s="8"/>
      <c r="H285" s="8"/>
      <c r="I285" s="8"/>
      <c r="J285" s="8"/>
      <c r="K285" s="16"/>
      <c r="L285" s="8"/>
      <c r="M285" s="8"/>
      <c r="N285" s="8"/>
      <c r="O285" s="8"/>
      <c r="P285" s="8"/>
      <c r="Q285" s="2"/>
    </row>
    <row r="286" spans="1:17" x14ac:dyDescent="0.25">
      <c r="A286" s="5"/>
      <c r="B286" s="5"/>
      <c r="C286" s="5"/>
      <c r="D286" s="5"/>
      <c r="E286" s="5"/>
      <c r="F286" s="2"/>
      <c r="G286" s="8"/>
      <c r="H286" s="8"/>
      <c r="I286" s="8"/>
      <c r="J286" s="8"/>
      <c r="K286" s="16"/>
      <c r="L286" s="8"/>
      <c r="M286" s="8"/>
      <c r="N286" s="8"/>
      <c r="O286" s="8"/>
      <c r="P286" s="8"/>
      <c r="Q286" s="2"/>
    </row>
    <row r="287" spans="1:17" x14ac:dyDescent="0.25">
      <c r="A287" s="5"/>
      <c r="B287" s="5"/>
      <c r="C287" s="5"/>
      <c r="D287" s="5"/>
      <c r="E287" s="5"/>
      <c r="F287" s="2"/>
      <c r="G287" s="8"/>
      <c r="H287" s="8"/>
      <c r="I287" s="8"/>
      <c r="J287" s="8"/>
      <c r="K287" s="16"/>
      <c r="L287" s="8"/>
      <c r="M287" s="8"/>
      <c r="N287" s="8"/>
      <c r="O287" s="8"/>
      <c r="P287" s="8"/>
      <c r="Q287" s="2"/>
    </row>
    <row r="288" spans="1:17" x14ac:dyDescent="0.25">
      <c r="A288" s="5"/>
      <c r="B288" s="5"/>
      <c r="C288" s="5"/>
      <c r="D288" s="5"/>
      <c r="E288" s="5"/>
      <c r="F288" s="2"/>
      <c r="G288" s="8"/>
      <c r="H288" s="8"/>
      <c r="I288" s="8"/>
      <c r="J288" s="8"/>
      <c r="K288" s="16"/>
      <c r="L288" s="8"/>
      <c r="M288" s="8"/>
      <c r="N288" s="8"/>
      <c r="O288" s="8"/>
      <c r="P288" s="8"/>
      <c r="Q288" s="2"/>
    </row>
    <row r="289" spans="1:17" x14ac:dyDescent="0.25">
      <c r="A289" s="5"/>
      <c r="B289" s="5"/>
      <c r="C289" s="5"/>
      <c r="D289" s="5"/>
      <c r="E289" s="5"/>
      <c r="F289" s="2"/>
      <c r="G289" s="8"/>
      <c r="H289" s="8"/>
      <c r="I289" s="8"/>
      <c r="J289" s="8"/>
      <c r="K289" s="16"/>
      <c r="L289" s="8"/>
      <c r="M289" s="8"/>
      <c r="N289" s="8"/>
      <c r="O289" s="8"/>
      <c r="P289" s="8"/>
      <c r="Q289" s="2"/>
    </row>
    <row r="290" spans="1:17" x14ac:dyDescent="0.25">
      <c r="A290" s="5"/>
      <c r="B290" s="5"/>
      <c r="C290" s="5"/>
      <c r="D290" s="5"/>
      <c r="E290" s="5"/>
      <c r="F290" s="2"/>
      <c r="G290" s="8"/>
      <c r="H290" s="8"/>
      <c r="I290" s="8"/>
      <c r="J290" s="8"/>
      <c r="K290" s="16"/>
      <c r="L290" s="8"/>
      <c r="M290" s="9"/>
      <c r="N290" s="9"/>
      <c r="O290" s="9"/>
      <c r="P290" s="9"/>
    </row>
    <row r="291" spans="1:17" x14ac:dyDescent="0.25">
      <c r="A291" s="5"/>
      <c r="B291" s="5"/>
      <c r="C291" s="5"/>
      <c r="D291" s="5"/>
      <c r="E291" s="5"/>
      <c r="F291" s="4"/>
      <c r="G291" s="9"/>
      <c r="H291" s="9"/>
      <c r="I291" s="9"/>
      <c r="J291" s="9"/>
      <c r="K291" s="9"/>
      <c r="L291" s="9"/>
      <c r="M291" s="8"/>
      <c r="N291" s="8"/>
      <c r="O291" s="8"/>
      <c r="P291" s="8"/>
      <c r="Q291" s="2"/>
    </row>
    <row r="292" spans="1:17" x14ac:dyDescent="0.25">
      <c r="A292" s="5"/>
      <c r="B292" s="5"/>
      <c r="C292" s="5"/>
      <c r="D292" s="5"/>
      <c r="E292" s="5"/>
      <c r="F292" s="2"/>
      <c r="G292" s="8"/>
      <c r="H292" s="8"/>
      <c r="I292" s="12"/>
      <c r="J292" s="8"/>
      <c r="K292" s="8"/>
      <c r="L292" s="8"/>
      <c r="M292" s="8"/>
      <c r="N292" s="8"/>
      <c r="O292" s="8"/>
      <c r="P292" s="8"/>
      <c r="Q292" s="2"/>
    </row>
    <row r="293" spans="1:17" x14ac:dyDescent="0.25">
      <c r="A293" s="5"/>
      <c r="B293" s="5"/>
      <c r="C293" s="5"/>
      <c r="D293" s="5"/>
      <c r="E293" s="5"/>
      <c r="F293" s="2"/>
      <c r="G293" s="8"/>
      <c r="H293" s="8"/>
      <c r="I293" s="12"/>
      <c r="J293" s="8"/>
      <c r="K293" s="8"/>
      <c r="L293" s="8"/>
      <c r="M293" s="8"/>
      <c r="N293" s="8"/>
      <c r="O293" s="8"/>
      <c r="P293" s="8"/>
      <c r="Q293" s="2"/>
    </row>
    <row r="294" spans="1:17" x14ac:dyDescent="0.25">
      <c r="A294" s="5"/>
      <c r="B294" s="5"/>
      <c r="C294" s="5"/>
      <c r="D294" s="5"/>
      <c r="E294" s="5"/>
      <c r="F294" s="2"/>
      <c r="G294" s="8"/>
      <c r="H294" s="8"/>
      <c r="I294" s="12"/>
      <c r="J294" s="8"/>
      <c r="K294" s="8"/>
      <c r="L294" s="8"/>
      <c r="M294" s="8"/>
      <c r="N294" s="8"/>
      <c r="O294" s="8"/>
      <c r="P294" s="8"/>
      <c r="Q294" s="2"/>
    </row>
    <row r="295" spans="1:17" x14ac:dyDescent="0.25">
      <c r="A295" s="5"/>
      <c r="B295" s="5"/>
      <c r="C295" s="5"/>
      <c r="D295" s="5"/>
      <c r="E295" s="5"/>
      <c r="F295" s="2"/>
      <c r="G295" s="8"/>
      <c r="H295" s="8"/>
      <c r="I295" s="12"/>
      <c r="J295" s="8"/>
      <c r="K295" s="8"/>
      <c r="L295" s="8"/>
      <c r="M295" s="8"/>
      <c r="N295" s="8"/>
      <c r="O295" s="8"/>
      <c r="P295" s="8"/>
      <c r="Q295" s="2"/>
    </row>
    <row r="296" spans="1:17" x14ac:dyDescent="0.25">
      <c r="A296" s="5"/>
      <c r="B296" s="5"/>
      <c r="C296" s="5"/>
      <c r="D296" s="5"/>
      <c r="E296" s="5"/>
      <c r="F296" s="2"/>
      <c r="G296" s="8"/>
      <c r="H296" s="8"/>
      <c r="I296" s="8"/>
      <c r="J296" s="8"/>
      <c r="K296" s="16"/>
      <c r="L296" s="8"/>
      <c r="M296" s="8"/>
      <c r="N296" s="8"/>
      <c r="O296" s="8"/>
      <c r="P296" s="8"/>
      <c r="Q296" s="2"/>
    </row>
    <row r="297" spans="1:17" x14ac:dyDescent="0.25">
      <c r="A297" s="5"/>
      <c r="B297" s="5"/>
      <c r="C297" s="5"/>
      <c r="D297" s="5"/>
      <c r="E297" s="5"/>
      <c r="F297" s="2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2"/>
    </row>
    <row r="298" spans="1:17" x14ac:dyDescent="0.25">
      <c r="A298" s="6"/>
      <c r="B298" s="6"/>
      <c r="C298" s="6"/>
      <c r="D298" s="6"/>
      <c r="E298" s="6"/>
      <c r="F298" s="2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2"/>
    </row>
    <row r="299" spans="1:17" x14ac:dyDescent="0.25">
      <c r="A299" s="5"/>
      <c r="B299" s="5"/>
      <c r="C299" s="5"/>
      <c r="D299" s="5"/>
      <c r="E299" s="5"/>
      <c r="F299" s="2"/>
      <c r="G299" s="8"/>
      <c r="H299" s="8"/>
      <c r="I299" s="8"/>
      <c r="J299" s="8"/>
      <c r="K299" s="16"/>
      <c r="L299" s="8"/>
      <c r="M299" s="8"/>
      <c r="N299" s="8"/>
      <c r="O299" s="8"/>
      <c r="P299" s="8"/>
      <c r="Q299" s="2"/>
    </row>
    <row r="300" spans="1:17" x14ac:dyDescent="0.25">
      <c r="A300" s="5"/>
      <c r="B300" s="5"/>
      <c r="C300" s="5"/>
      <c r="D300" s="5"/>
      <c r="E300" s="5"/>
      <c r="F300" s="2"/>
      <c r="G300" s="8"/>
      <c r="H300" s="8"/>
      <c r="I300" s="12"/>
      <c r="J300" s="8"/>
      <c r="K300" s="8"/>
      <c r="L300" s="8"/>
      <c r="M300" s="8"/>
      <c r="N300" s="8"/>
      <c r="O300" s="8"/>
      <c r="P300" s="8"/>
      <c r="Q300" s="2"/>
    </row>
    <row r="301" spans="1:17" x14ac:dyDescent="0.25">
      <c r="A301" s="5"/>
      <c r="B301" s="5"/>
      <c r="C301" s="5"/>
      <c r="D301" s="5"/>
      <c r="E301" s="5"/>
      <c r="F301" s="2"/>
      <c r="G301" s="8"/>
      <c r="H301" s="8"/>
      <c r="I301" s="12"/>
      <c r="J301" s="8"/>
      <c r="K301" s="8"/>
      <c r="L301" s="8"/>
      <c r="M301" s="8"/>
      <c r="N301" s="8"/>
      <c r="O301" s="8"/>
      <c r="P301" s="8"/>
      <c r="Q301" s="2"/>
    </row>
    <row r="302" spans="1:17" x14ac:dyDescent="0.25">
      <c r="A302" s="5"/>
      <c r="B302" s="5"/>
      <c r="C302" s="5"/>
      <c r="D302" s="5"/>
      <c r="E302" s="5"/>
      <c r="F302" s="2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2"/>
    </row>
    <row r="303" spans="1:17" x14ac:dyDescent="0.25">
      <c r="A303" s="7"/>
      <c r="F303" s="2"/>
      <c r="G303" s="8"/>
      <c r="H303" s="8"/>
      <c r="I303" s="8"/>
      <c r="J303" s="8"/>
      <c r="K303" s="16"/>
      <c r="L303" s="8"/>
      <c r="M303" s="8"/>
      <c r="N303" s="8"/>
      <c r="O303" s="8"/>
      <c r="P303" s="8"/>
      <c r="Q303" s="2"/>
    </row>
    <row r="304" spans="1:17" x14ac:dyDescent="0.25">
      <c r="F304" s="2"/>
      <c r="G304" s="8"/>
      <c r="H304" s="8"/>
      <c r="I304" s="8"/>
      <c r="J304" s="8"/>
      <c r="K304" s="16"/>
      <c r="L304" s="8"/>
      <c r="M304" s="8"/>
      <c r="N304" s="8"/>
      <c r="O304" s="8"/>
      <c r="P304" s="8"/>
      <c r="Q304" s="2"/>
    </row>
    <row r="305" spans="6:17" x14ac:dyDescent="0.25">
      <c r="F305" s="2"/>
      <c r="G305" s="8"/>
      <c r="H305" s="8"/>
      <c r="I305" s="12"/>
      <c r="J305" s="8"/>
      <c r="K305" s="8"/>
      <c r="L305" s="8"/>
      <c r="M305" s="8"/>
      <c r="N305" s="8"/>
      <c r="O305" s="8"/>
      <c r="P305" s="8"/>
      <c r="Q305" s="2"/>
    </row>
    <row r="306" spans="6:17" x14ac:dyDescent="0.25">
      <c r="F306" s="2"/>
      <c r="G306" s="8"/>
      <c r="H306" s="8"/>
      <c r="I306" s="8"/>
      <c r="J306" s="8"/>
      <c r="K306" s="16"/>
      <c r="L306" s="8"/>
      <c r="M306" s="8"/>
      <c r="N306" s="8"/>
      <c r="O306" s="8"/>
      <c r="P306" s="8"/>
      <c r="Q306" s="2"/>
    </row>
    <row r="307" spans="6:17" x14ac:dyDescent="0.25">
      <c r="F307" s="2"/>
      <c r="G307" s="8"/>
      <c r="H307" s="8"/>
      <c r="I307" s="8"/>
      <c r="J307" s="8"/>
      <c r="K307" s="16"/>
      <c r="L307" s="8"/>
      <c r="M307" s="8"/>
      <c r="N307" s="8"/>
      <c r="O307" s="8"/>
      <c r="P307" s="8"/>
      <c r="Q307" s="2"/>
    </row>
    <row r="308" spans="6:17" x14ac:dyDescent="0.25">
      <c r="F308" s="2"/>
      <c r="G308" s="8"/>
      <c r="H308" s="8"/>
      <c r="I308" s="8"/>
      <c r="J308" s="8"/>
      <c r="K308" s="16"/>
      <c r="L308" s="8"/>
      <c r="M308" s="8"/>
      <c r="N308" s="8"/>
      <c r="O308" s="8"/>
      <c r="P308" s="8"/>
      <c r="Q308" s="2"/>
    </row>
    <row r="309" spans="6:17" x14ac:dyDescent="0.25">
      <c r="F309" s="2"/>
      <c r="G309" s="8"/>
      <c r="H309" s="8"/>
      <c r="I309" s="8"/>
      <c r="J309" s="8"/>
      <c r="K309" s="16"/>
      <c r="L309" s="8"/>
      <c r="M309" s="8"/>
      <c r="N309" s="8"/>
      <c r="O309" s="8"/>
      <c r="P309" s="8"/>
      <c r="Q309" s="2"/>
    </row>
    <row r="310" spans="6:17" x14ac:dyDescent="0.25">
      <c r="F310" s="2"/>
      <c r="G310" s="8"/>
      <c r="H310" s="8"/>
      <c r="I310" s="8"/>
      <c r="J310" s="8"/>
      <c r="K310" s="16"/>
      <c r="L310" s="8"/>
      <c r="M310" s="8"/>
      <c r="N310" s="8"/>
      <c r="O310" s="8"/>
      <c r="P310" s="8"/>
      <c r="Q310" s="2"/>
    </row>
    <row r="311" spans="6:17" x14ac:dyDescent="0.25">
      <c r="F311" s="2"/>
      <c r="G311" s="8"/>
      <c r="H311" s="8"/>
      <c r="I311" s="8"/>
      <c r="J311" s="8"/>
      <c r="K311" s="16"/>
      <c r="L311" s="8"/>
      <c r="M311" s="8"/>
      <c r="N311" s="8"/>
      <c r="O311" s="8"/>
      <c r="P311" s="8"/>
      <c r="Q311" s="2"/>
    </row>
    <row r="312" spans="6:17" x14ac:dyDescent="0.25">
      <c r="F312" s="2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2"/>
    </row>
    <row r="313" spans="6:17" x14ac:dyDescent="0.25">
      <c r="F313" s="2"/>
      <c r="G313" s="8"/>
      <c r="H313" s="8"/>
      <c r="I313" s="12"/>
      <c r="J313" s="8"/>
      <c r="K313" s="16"/>
      <c r="L313" s="8"/>
      <c r="M313" s="8"/>
      <c r="N313" s="8"/>
      <c r="O313" s="8"/>
      <c r="P313" s="8"/>
      <c r="Q313" s="2"/>
    </row>
    <row r="314" spans="6:17" x14ac:dyDescent="0.25">
      <c r="F314" s="2"/>
      <c r="G314" s="8"/>
      <c r="H314" s="8"/>
      <c r="I314" s="12"/>
      <c r="J314" s="8"/>
      <c r="K314" s="16"/>
      <c r="L314" s="8"/>
      <c r="M314" s="8"/>
      <c r="N314" s="8"/>
      <c r="O314" s="8"/>
      <c r="P314" s="8"/>
      <c r="Q314" s="2"/>
    </row>
    <row r="315" spans="6:17" x14ac:dyDescent="0.25">
      <c r="F315" s="2"/>
      <c r="G315" s="8"/>
      <c r="H315" s="8"/>
      <c r="I315" s="8"/>
      <c r="J315" s="8"/>
      <c r="K315" s="16"/>
      <c r="L315" s="8"/>
      <c r="M315" s="9"/>
      <c r="N315" s="9"/>
      <c r="O315" s="9"/>
      <c r="P315" s="9"/>
    </row>
    <row r="316" spans="6:17" x14ac:dyDescent="0.25">
      <c r="F316" s="4"/>
      <c r="G316" s="9"/>
      <c r="H316" s="9"/>
      <c r="I316" s="9"/>
      <c r="J316" s="9"/>
      <c r="K316" s="9"/>
      <c r="L316" s="9"/>
      <c r="M316" s="8"/>
      <c r="N316" s="8"/>
      <c r="O316" s="8"/>
      <c r="P316" s="8"/>
      <c r="Q316" s="2"/>
    </row>
    <row r="317" spans="6:17" x14ac:dyDescent="0.25">
      <c r="F317" s="2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2"/>
    </row>
    <row r="318" spans="6:17" x14ac:dyDescent="0.25">
      <c r="F318" s="2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2"/>
    </row>
    <row r="319" spans="6:17" x14ac:dyDescent="0.25">
      <c r="F319" s="2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2"/>
    </row>
    <row r="320" spans="6:17" x14ac:dyDescent="0.25">
      <c r="F320" s="2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2"/>
    </row>
    <row r="321" spans="6:17" x14ac:dyDescent="0.25">
      <c r="F321" s="2"/>
      <c r="G321" s="8"/>
      <c r="H321" s="8"/>
      <c r="I321" s="17"/>
      <c r="J321" s="8"/>
      <c r="K321" s="8"/>
      <c r="L321" s="8"/>
      <c r="M321" s="8"/>
      <c r="N321" s="8"/>
      <c r="O321" s="8"/>
      <c r="P321" s="8"/>
      <c r="Q321" s="2"/>
    </row>
    <row r="322" spans="6:17" x14ac:dyDescent="0.25">
      <c r="F322" s="2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2"/>
    </row>
    <row r="323" spans="6:17" x14ac:dyDescent="0.25">
      <c r="F323" s="2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2"/>
    </row>
    <row r="324" spans="6:17" x14ac:dyDescent="0.25">
      <c r="F324" s="2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2"/>
    </row>
    <row r="325" spans="6:17" x14ac:dyDescent="0.25">
      <c r="F325" s="2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2"/>
    </row>
    <row r="326" spans="6:17" x14ac:dyDescent="0.25">
      <c r="F326" s="2"/>
      <c r="G326" s="8"/>
      <c r="H326" s="8"/>
      <c r="I326" s="8"/>
      <c r="J326" s="8"/>
      <c r="K326" s="16"/>
      <c r="L326" s="8"/>
      <c r="M326" s="8"/>
      <c r="N326" s="8"/>
      <c r="O326" s="8"/>
      <c r="P326" s="8"/>
      <c r="Q326" s="2"/>
    </row>
    <row r="327" spans="6:17" x14ac:dyDescent="0.25">
      <c r="F327" s="2"/>
      <c r="G327" s="8"/>
      <c r="H327" s="8"/>
      <c r="I327" s="8"/>
      <c r="J327" s="8"/>
      <c r="K327" s="16"/>
      <c r="L327" s="8"/>
      <c r="M327" s="8"/>
      <c r="N327" s="8"/>
      <c r="O327" s="8"/>
      <c r="P327" s="8"/>
      <c r="Q327" s="2"/>
    </row>
    <row r="328" spans="6:17" x14ac:dyDescent="0.25">
      <c r="F328" s="2"/>
      <c r="G328" s="8"/>
      <c r="H328" s="8"/>
      <c r="I328" s="8"/>
      <c r="J328" s="8"/>
      <c r="K328" s="16"/>
      <c r="L328" s="8"/>
      <c r="M328" s="8"/>
      <c r="N328" s="8"/>
      <c r="O328" s="8"/>
      <c r="P328" s="8"/>
      <c r="Q328" s="2"/>
    </row>
    <row r="329" spans="6:17" x14ac:dyDescent="0.25">
      <c r="F329" s="2"/>
      <c r="G329" s="8"/>
      <c r="H329" s="8"/>
      <c r="I329" s="8"/>
      <c r="J329" s="8"/>
      <c r="K329" s="16"/>
      <c r="L329" s="8"/>
      <c r="M329" s="8"/>
      <c r="N329" s="8"/>
      <c r="O329" s="8"/>
      <c r="P329" s="8"/>
      <c r="Q329" s="2"/>
    </row>
    <row r="330" spans="6:17" x14ac:dyDescent="0.25">
      <c r="F330" s="2"/>
      <c r="G330" s="8"/>
      <c r="H330" s="8"/>
      <c r="I330" s="8"/>
      <c r="J330" s="8"/>
      <c r="K330" s="16"/>
      <c r="L330" s="8"/>
    </row>
  </sheetData>
  <mergeCells count="34">
    <mergeCell ref="C267:C268"/>
    <mergeCell ref="D267:D268"/>
    <mergeCell ref="E267:E268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42:J42"/>
    <mergeCell ref="I43:J43"/>
    <mergeCell ref="I44:J44"/>
    <mergeCell ref="I45:J45"/>
    <mergeCell ref="I37:J37"/>
    <mergeCell ref="I38:J38"/>
    <mergeCell ref="I39:J39"/>
    <mergeCell ref="I40:J40"/>
    <mergeCell ref="I41:J41"/>
    <mergeCell ref="K45:O45"/>
    <mergeCell ref="K43:O43"/>
    <mergeCell ref="K41:O41"/>
    <mergeCell ref="K39:O39"/>
    <mergeCell ref="K37:O37"/>
    <mergeCell ref="K35:O35"/>
    <mergeCell ref="K33:O33"/>
    <mergeCell ref="K31:O31"/>
    <mergeCell ref="K29:O29"/>
    <mergeCell ref="K27:O27"/>
  </mergeCells>
  <dataValidations count="6">
    <dataValidation type="list" allowBlank="1" showInputMessage="1" showErrorMessage="1" sqref="B11:B16">
      <formula1>nameLIST</formula1>
    </dataValidation>
    <dataValidation type="list" allowBlank="1" showInputMessage="1" showErrorMessage="1" sqref="A19:A45">
      <formula1>GEARLIST</formula1>
    </dataValidation>
    <dataValidation type="list" allowBlank="1" showInputMessage="1" showErrorMessage="1" sqref="B6">
      <formula1>ARMORLIST</formula1>
    </dataValidation>
    <dataValidation type="list" allowBlank="1" showInputMessage="1" showErrorMessage="1" sqref="B7">
      <formula1>SHIELDLIST</formula1>
    </dataValidation>
    <dataValidation type="list" allowBlank="1" showInputMessage="1" showErrorMessage="1" sqref="I28:J28 I44:J44 I42:J42 I40:J40 I38:J38 I36:J36 I34:J34 I32:J32 I30:J30 I26:J26">
      <formula1>AmmoList</formula1>
    </dataValidation>
    <dataValidation type="list" allowBlank="1" showInputMessage="1" showErrorMessage="1" sqref="I27:J27 I29:J29 I31:J31 I33:J33 I35:J35 I37:J37 I39:J39 I41:J41 I43:J43 I45:J45">
      <formula1>AmmoTypeList</formula1>
    </dataValidation>
  </dataValidations>
  <pageMargins left="0.7" right="0.7" top="0.75" bottom="0.75" header="0.3" footer="0.3"/>
  <pageSetup scale="71" orientation="landscape" r:id="rId1"/>
  <ignoredErrors>
    <ignoredError sqref="K28 K30 K32 K34 K36 K38 K40 K42 K4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4"/>
  <sheetViews>
    <sheetView topLeftCell="S1" workbookViewId="0">
      <selection activeCell="B4" sqref="B4"/>
    </sheetView>
  </sheetViews>
  <sheetFormatPr defaultRowHeight="16.5" customHeight="1" x14ac:dyDescent="0.25"/>
  <cols>
    <col min="1" max="1" width="21.5703125" bestFit="1" customWidth="1"/>
    <col min="6" max="6" width="26.140625" customWidth="1"/>
    <col min="7" max="7" width="10" style="9" bestFit="1" customWidth="1"/>
    <col min="8" max="8" width="10.140625" style="9" bestFit="1" customWidth="1"/>
    <col min="9" max="15" width="9.140625" style="9"/>
    <col min="16" max="16" width="15.85546875" style="9" bestFit="1" customWidth="1"/>
    <col min="17" max="17" width="24.7109375" bestFit="1" customWidth="1"/>
    <col min="18" max="18" width="22.7109375" bestFit="1" customWidth="1"/>
    <col min="33" max="33" width="28.5703125" bestFit="1" customWidth="1"/>
    <col min="34" max="34" width="13.42578125" bestFit="1" customWidth="1"/>
    <col min="37" max="37" width="21.7109375" bestFit="1" customWidth="1"/>
  </cols>
  <sheetData>
    <row r="1" spans="1:40" ht="16.5" customHeight="1" x14ac:dyDescent="0.25">
      <c r="A1" t="s">
        <v>4</v>
      </c>
      <c r="F1" t="s">
        <v>190</v>
      </c>
      <c r="R1" t="s">
        <v>312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B1">
        <v>11</v>
      </c>
      <c r="AC1">
        <v>12</v>
      </c>
      <c r="AD1">
        <v>13</v>
      </c>
      <c r="AE1">
        <v>14</v>
      </c>
      <c r="AF1">
        <v>15</v>
      </c>
      <c r="AG1" t="s">
        <v>598</v>
      </c>
      <c r="AK1" t="s">
        <v>649</v>
      </c>
    </row>
    <row r="2" spans="1:40" ht="16.5" customHeight="1" x14ac:dyDescent="0.25">
      <c r="A2" t="s">
        <v>0</v>
      </c>
      <c r="B2" t="s">
        <v>1</v>
      </c>
      <c r="C2" t="s">
        <v>2</v>
      </c>
      <c r="D2" t="s">
        <v>3</v>
      </c>
      <c r="E2" t="s">
        <v>21</v>
      </c>
      <c r="F2" t="s">
        <v>0</v>
      </c>
      <c r="G2" s="9" t="s">
        <v>179</v>
      </c>
      <c r="H2" s="9" t="s">
        <v>180</v>
      </c>
      <c r="I2" s="9" t="s">
        <v>181</v>
      </c>
      <c r="J2" s="9" t="s">
        <v>182</v>
      </c>
      <c r="K2" s="9" t="s">
        <v>1</v>
      </c>
      <c r="L2" s="9" t="s">
        <v>186</v>
      </c>
      <c r="M2" s="9" t="s">
        <v>187</v>
      </c>
      <c r="N2" s="9" t="s">
        <v>3</v>
      </c>
      <c r="O2" s="9" t="s">
        <v>21</v>
      </c>
      <c r="P2" s="9" t="s">
        <v>188</v>
      </c>
      <c r="Q2" s="9" t="s">
        <v>189</v>
      </c>
      <c r="S2" t="s">
        <v>312</v>
      </c>
      <c r="T2" t="s">
        <v>322</v>
      </c>
      <c r="U2" t="s">
        <v>323</v>
      </c>
      <c r="V2" t="s">
        <v>1</v>
      </c>
      <c r="W2" t="s">
        <v>186</v>
      </c>
      <c r="X2" t="s">
        <v>324</v>
      </c>
      <c r="Y2" t="s">
        <v>325</v>
      </c>
      <c r="Z2" t="s">
        <v>326</v>
      </c>
      <c r="AA2" t="s">
        <v>3</v>
      </c>
      <c r="AB2" t="s">
        <v>21</v>
      </c>
      <c r="AC2" t="s">
        <v>4</v>
      </c>
      <c r="AD2" t="s">
        <v>327</v>
      </c>
      <c r="AE2" t="s">
        <v>443</v>
      </c>
      <c r="AF2" t="s">
        <v>444</v>
      </c>
      <c r="AG2" s="85" t="s">
        <v>599</v>
      </c>
      <c r="AH2" s="85" t="s">
        <v>600</v>
      </c>
      <c r="AI2" s="85" t="s">
        <v>601</v>
      </c>
      <c r="AJ2" s="85" t="s">
        <v>602</v>
      </c>
      <c r="AK2" s="85" t="s">
        <v>443</v>
      </c>
      <c r="AL2" s="85" t="s">
        <v>21</v>
      </c>
      <c r="AM2" s="85" t="s">
        <v>623</v>
      </c>
      <c r="AN2" s="85" t="s">
        <v>656</v>
      </c>
    </row>
    <row r="3" spans="1:40" ht="16.5" customHeight="1" x14ac:dyDescent="0.25">
      <c r="A3" t="s">
        <v>311</v>
      </c>
      <c r="F3" t="s">
        <v>311</v>
      </c>
      <c r="R3" t="s">
        <v>311</v>
      </c>
      <c r="AG3" s="85" t="s">
        <v>402</v>
      </c>
      <c r="AH3" s="85"/>
      <c r="AI3" s="85"/>
      <c r="AJ3" s="85"/>
      <c r="AK3" s="95" t="s">
        <v>655</v>
      </c>
      <c r="AL3" s="95"/>
      <c r="AM3" s="95">
        <v>1</v>
      </c>
      <c r="AN3" s="95"/>
    </row>
    <row r="4" spans="1:40" ht="16.5" customHeight="1" x14ac:dyDescent="0.25">
      <c r="A4" s="2" t="s">
        <v>22</v>
      </c>
      <c r="B4" s="2">
        <v>360</v>
      </c>
      <c r="C4" s="2">
        <v>2</v>
      </c>
      <c r="D4" s="2">
        <v>4</v>
      </c>
      <c r="E4" s="2">
        <v>3</v>
      </c>
      <c r="F4" s="113" t="s">
        <v>664</v>
      </c>
      <c r="R4" s="115" t="s">
        <v>669</v>
      </c>
      <c r="AG4" s="2" t="s">
        <v>603</v>
      </c>
      <c r="AH4" s="2" t="s">
        <v>604</v>
      </c>
      <c r="AI4" s="2">
        <v>2</v>
      </c>
      <c r="AJ4" s="2">
        <v>50</v>
      </c>
      <c r="AK4" s="95" t="s">
        <v>650</v>
      </c>
      <c r="AL4" s="95">
        <v>1</v>
      </c>
      <c r="AM4" s="15">
        <v>2</v>
      </c>
      <c r="AN4" s="96" t="s">
        <v>657</v>
      </c>
    </row>
    <row r="5" spans="1:40" ht="16.5" customHeight="1" x14ac:dyDescent="0.25">
      <c r="A5" s="2" t="s">
        <v>57</v>
      </c>
      <c r="B5" s="3">
        <v>125000</v>
      </c>
      <c r="C5" s="2">
        <v>30</v>
      </c>
      <c r="D5" s="2">
        <v>20</v>
      </c>
      <c r="E5" s="2" t="s">
        <v>23</v>
      </c>
      <c r="F5" s="2" t="s">
        <v>97</v>
      </c>
      <c r="G5" s="10">
        <v>2</v>
      </c>
      <c r="H5" s="8" t="s">
        <v>562</v>
      </c>
      <c r="I5" s="8" t="s">
        <v>99</v>
      </c>
      <c r="J5" s="8">
        <v>0</v>
      </c>
      <c r="K5" s="8">
        <v>150</v>
      </c>
      <c r="L5" s="8">
        <v>2</v>
      </c>
      <c r="M5" s="8">
        <v>6</v>
      </c>
      <c r="N5" s="8">
        <v>4</v>
      </c>
      <c r="O5" s="8">
        <v>1</v>
      </c>
      <c r="P5" s="8" t="s">
        <v>98</v>
      </c>
      <c r="Q5" s="2" t="s">
        <v>115</v>
      </c>
      <c r="R5" s="2" t="s">
        <v>313</v>
      </c>
      <c r="S5" s="2">
        <v>2</v>
      </c>
      <c r="T5" s="2">
        <v>0</v>
      </c>
      <c r="U5" s="2">
        <v>0</v>
      </c>
      <c r="V5" s="2">
        <v>25</v>
      </c>
      <c r="W5" s="2">
        <v>10</v>
      </c>
      <c r="X5" s="2">
        <v>0</v>
      </c>
      <c r="Y5" s="2">
        <v>0</v>
      </c>
      <c r="Z5" s="2">
        <v>0</v>
      </c>
      <c r="AA5" s="2">
        <v>4</v>
      </c>
      <c r="AB5" s="2">
        <v>1</v>
      </c>
      <c r="AC5" s="2">
        <v>1</v>
      </c>
      <c r="AD5" s="2"/>
      <c r="AE5" t="s">
        <v>445</v>
      </c>
      <c r="AG5" s="2" t="s">
        <v>605</v>
      </c>
      <c r="AH5" s="2" t="s">
        <v>604</v>
      </c>
      <c r="AI5" s="2">
        <v>8</v>
      </c>
      <c r="AJ5" s="2">
        <v>150</v>
      </c>
      <c r="AK5" s="95" t="s">
        <v>651</v>
      </c>
      <c r="AL5" s="95">
        <v>1</v>
      </c>
      <c r="AM5" s="15">
        <v>4</v>
      </c>
      <c r="AN5" s="96" t="s">
        <v>658</v>
      </c>
    </row>
    <row r="6" spans="1:40" ht="16.5" customHeight="1" x14ac:dyDescent="0.25">
      <c r="A6" s="124" t="s">
        <v>58</v>
      </c>
      <c r="B6" s="124">
        <v>2</v>
      </c>
      <c r="C6" s="124">
        <v>0.5</v>
      </c>
      <c r="D6" s="124">
        <v>1</v>
      </c>
      <c r="E6" s="124">
        <v>1</v>
      </c>
      <c r="F6" s="2" t="s">
        <v>100</v>
      </c>
      <c r="G6" s="10">
        <v>2</v>
      </c>
      <c r="H6" s="8" t="s">
        <v>562</v>
      </c>
      <c r="I6" s="11" t="s">
        <v>173</v>
      </c>
      <c r="J6" s="8">
        <v>0</v>
      </c>
      <c r="K6" s="8">
        <v>200</v>
      </c>
      <c r="L6" s="8">
        <v>1</v>
      </c>
      <c r="M6" s="8">
        <v>6</v>
      </c>
      <c r="N6" s="8">
        <v>4</v>
      </c>
      <c r="O6" s="8">
        <v>1</v>
      </c>
      <c r="P6" s="8" t="s">
        <v>98</v>
      </c>
      <c r="Q6" s="2" t="s">
        <v>176</v>
      </c>
      <c r="R6" s="2" t="s">
        <v>314</v>
      </c>
      <c r="S6" s="2">
        <v>3</v>
      </c>
      <c r="T6" s="2">
        <v>-1</v>
      </c>
      <c r="U6" s="2">
        <v>0</v>
      </c>
      <c r="V6" s="2">
        <v>35</v>
      </c>
      <c r="W6" s="2">
        <v>20</v>
      </c>
      <c r="X6" s="2">
        <v>0</v>
      </c>
      <c r="Y6" s="2">
        <v>0</v>
      </c>
      <c r="Z6" s="2">
        <v>0</v>
      </c>
      <c r="AA6" s="2">
        <v>4</v>
      </c>
      <c r="AB6" s="2">
        <v>1</v>
      </c>
      <c r="AC6" s="2">
        <v>1</v>
      </c>
      <c r="AD6" s="2"/>
      <c r="AE6" t="s">
        <v>445</v>
      </c>
      <c r="AG6" s="2" t="s">
        <v>606</v>
      </c>
      <c r="AH6" s="2" t="s">
        <v>63</v>
      </c>
      <c r="AI6" s="2">
        <v>2</v>
      </c>
      <c r="AJ6" s="2">
        <v>4</v>
      </c>
      <c r="AK6" s="95" t="s">
        <v>652</v>
      </c>
      <c r="AL6" s="95">
        <v>1</v>
      </c>
      <c r="AM6" s="15">
        <v>2</v>
      </c>
      <c r="AN6" s="96" t="s">
        <v>659</v>
      </c>
    </row>
    <row r="7" spans="1:40" ht="16.5" customHeight="1" x14ac:dyDescent="0.25">
      <c r="A7" s="124" t="s">
        <v>59</v>
      </c>
      <c r="B7" s="124">
        <v>50</v>
      </c>
      <c r="C7" s="124">
        <v>1</v>
      </c>
      <c r="D7" s="124">
        <v>1</v>
      </c>
      <c r="E7" s="124">
        <v>1</v>
      </c>
      <c r="F7" s="2" t="s">
        <v>101</v>
      </c>
      <c r="G7" s="10">
        <v>2</v>
      </c>
      <c r="H7" s="8" t="s">
        <v>563</v>
      </c>
      <c r="I7" s="11" t="s">
        <v>172</v>
      </c>
      <c r="J7" s="8">
        <v>0</v>
      </c>
      <c r="K7" s="8">
        <v>300</v>
      </c>
      <c r="L7" s="8">
        <v>3</v>
      </c>
      <c r="M7" s="8">
        <v>2</v>
      </c>
      <c r="N7" s="8">
        <v>4</v>
      </c>
      <c r="O7" s="8">
        <v>1</v>
      </c>
      <c r="P7" s="8" t="s">
        <v>102</v>
      </c>
      <c r="Q7" s="2" t="s">
        <v>116</v>
      </c>
      <c r="R7" s="2" t="s">
        <v>320</v>
      </c>
      <c r="S7" s="2">
        <v>3</v>
      </c>
      <c r="T7" s="2">
        <v>-1</v>
      </c>
      <c r="U7" s="2">
        <v>0</v>
      </c>
      <c r="V7" s="3">
        <v>25000</v>
      </c>
      <c r="W7" s="2">
        <v>25</v>
      </c>
      <c r="X7" s="2">
        <v>0</v>
      </c>
      <c r="Y7" s="2">
        <v>0</v>
      </c>
      <c r="Z7" s="2">
        <v>0</v>
      </c>
      <c r="AA7" s="2">
        <v>8</v>
      </c>
      <c r="AB7" s="2">
        <v>8</v>
      </c>
      <c r="AC7" s="2">
        <v>2</v>
      </c>
      <c r="AD7" s="2"/>
      <c r="AE7" t="s">
        <v>445</v>
      </c>
      <c r="AG7" s="2" t="s">
        <v>644</v>
      </c>
      <c r="AH7" s="2" t="s">
        <v>104</v>
      </c>
      <c r="AI7" s="2">
        <v>2</v>
      </c>
      <c r="AJ7" s="2">
        <v>2</v>
      </c>
      <c r="AK7" s="95" t="s">
        <v>653</v>
      </c>
      <c r="AL7" s="95">
        <v>1</v>
      </c>
      <c r="AM7" s="15">
        <v>2</v>
      </c>
      <c r="AN7" s="95" t="s">
        <v>661</v>
      </c>
    </row>
    <row r="8" spans="1:40" ht="16.5" customHeight="1" x14ac:dyDescent="0.25">
      <c r="A8" s="124" t="s">
        <v>61</v>
      </c>
      <c r="B8" s="124">
        <v>50</v>
      </c>
      <c r="C8" s="124">
        <v>5</v>
      </c>
      <c r="D8" s="124">
        <v>1</v>
      </c>
      <c r="E8" s="124">
        <v>1</v>
      </c>
      <c r="F8" s="2" t="s">
        <v>103</v>
      </c>
      <c r="G8" s="10">
        <v>2</v>
      </c>
      <c r="H8" s="8" t="s">
        <v>558</v>
      </c>
      <c r="I8" s="8" t="s">
        <v>99</v>
      </c>
      <c r="J8" s="8">
        <v>0</v>
      </c>
      <c r="K8" s="8">
        <v>360</v>
      </c>
      <c r="L8" s="8">
        <v>2</v>
      </c>
      <c r="M8" s="8">
        <v>15</v>
      </c>
      <c r="N8" s="8">
        <v>4</v>
      </c>
      <c r="O8" s="8">
        <v>1</v>
      </c>
      <c r="P8" s="8" t="s">
        <v>104</v>
      </c>
      <c r="Q8" s="2" t="s">
        <v>115</v>
      </c>
      <c r="R8" s="2" t="s">
        <v>321</v>
      </c>
      <c r="S8" s="2">
        <v>3</v>
      </c>
      <c r="T8" s="2">
        <v>0</v>
      </c>
      <c r="U8" s="2">
        <v>0</v>
      </c>
      <c r="V8" s="3">
        <v>45000</v>
      </c>
      <c r="W8" s="2">
        <v>25</v>
      </c>
      <c r="X8" s="2">
        <v>0</v>
      </c>
      <c r="Y8" s="2">
        <v>0</v>
      </c>
      <c r="Z8" s="2">
        <v>0</v>
      </c>
      <c r="AA8" s="2">
        <v>16</v>
      </c>
      <c r="AB8" s="2">
        <v>8</v>
      </c>
      <c r="AC8" s="2">
        <v>2</v>
      </c>
      <c r="AD8" s="2"/>
      <c r="AE8" t="s">
        <v>445</v>
      </c>
      <c r="AG8" s="2" t="s">
        <v>645</v>
      </c>
      <c r="AH8" s="2" t="s">
        <v>102</v>
      </c>
      <c r="AI8" s="2">
        <v>2</v>
      </c>
      <c r="AJ8" s="2">
        <v>3</v>
      </c>
      <c r="AK8" s="95" t="s">
        <v>654</v>
      </c>
      <c r="AL8" s="95">
        <v>1</v>
      </c>
      <c r="AM8" s="15">
        <v>2</v>
      </c>
      <c r="AN8" s="96" t="s">
        <v>660</v>
      </c>
    </row>
    <row r="9" spans="1:40" ht="16.5" customHeight="1" x14ac:dyDescent="0.25">
      <c r="A9" s="124" t="s">
        <v>60</v>
      </c>
      <c r="B9" s="124">
        <v>20</v>
      </c>
      <c r="C9" s="124">
        <v>2</v>
      </c>
      <c r="D9" s="124">
        <v>1</v>
      </c>
      <c r="E9" s="124">
        <v>1</v>
      </c>
      <c r="F9" s="2" t="s">
        <v>105</v>
      </c>
      <c r="G9" s="10">
        <v>2</v>
      </c>
      <c r="H9" s="8" t="s">
        <v>558</v>
      </c>
      <c r="I9" s="8" t="s">
        <v>99</v>
      </c>
      <c r="J9" s="8">
        <v>0</v>
      </c>
      <c r="K9" s="8">
        <v>360</v>
      </c>
      <c r="L9" s="8">
        <v>3</v>
      </c>
      <c r="M9" s="8">
        <v>40</v>
      </c>
      <c r="N9" s="8">
        <v>8</v>
      </c>
      <c r="O9" s="8">
        <v>1</v>
      </c>
      <c r="P9" s="8" t="s">
        <v>104</v>
      </c>
      <c r="Q9" s="2" t="s">
        <v>115</v>
      </c>
      <c r="R9" s="2" t="s">
        <v>315</v>
      </c>
      <c r="S9" s="2">
        <v>4</v>
      </c>
      <c r="T9" s="2">
        <v>-1</v>
      </c>
      <c r="U9" s="2">
        <v>0</v>
      </c>
      <c r="V9" s="3">
        <v>45000</v>
      </c>
      <c r="W9" s="2">
        <v>25</v>
      </c>
      <c r="X9" s="2">
        <v>0</v>
      </c>
      <c r="Y9" s="2">
        <v>0</v>
      </c>
      <c r="Z9" s="2">
        <v>0</v>
      </c>
      <c r="AA9" s="2">
        <v>20</v>
      </c>
      <c r="AB9" s="2" t="s">
        <v>30</v>
      </c>
      <c r="AC9" s="2">
        <v>2</v>
      </c>
      <c r="AD9" s="2" t="s">
        <v>274</v>
      </c>
      <c r="AE9" t="s">
        <v>445</v>
      </c>
      <c r="AG9" s="2" t="s">
        <v>607</v>
      </c>
      <c r="AH9" s="2">
        <v>1</v>
      </c>
      <c r="AI9" s="2">
        <v>2</v>
      </c>
      <c r="AJ9" s="2">
        <v>25</v>
      </c>
    </row>
    <row r="10" spans="1:40" ht="16.5" customHeight="1" x14ac:dyDescent="0.25">
      <c r="A10" s="124" t="s">
        <v>62</v>
      </c>
      <c r="B10" s="124">
        <v>40</v>
      </c>
      <c r="C10" s="124">
        <v>2</v>
      </c>
      <c r="D10" s="124">
        <v>1</v>
      </c>
      <c r="E10" s="124">
        <v>1</v>
      </c>
      <c r="F10" s="2" t="s">
        <v>106</v>
      </c>
      <c r="G10" s="10">
        <v>2</v>
      </c>
      <c r="H10" s="8" t="s">
        <v>563</v>
      </c>
      <c r="I10" s="8" t="s">
        <v>99</v>
      </c>
      <c r="J10" s="8">
        <v>0</v>
      </c>
      <c r="K10" s="8">
        <v>360</v>
      </c>
      <c r="L10" s="8">
        <v>4</v>
      </c>
      <c r="M10" s="8">
        <v>5</v>
      </c>
      <c r="N10" s="8">
        <v>8</v>
      </c>
      <c r="O10" s="8">
        <v>1</v>
      </c>
      <c r="P10" s="8" t="s">
        <v>102</v>
      </c>
      <c r="Q10" s="2"/>
      <c r="R10" s="2" t="s">
        <v>316</v>
      </c>
      <c r="S10" s="2">
        <v>4</v>
      </c>
      <c r="T10" s="2">
        <v>0</v>
      </c>
      <c r="U10" s="2">
        <v>0</v>
      </c>
      <c r="V10" s="3">
        <v>1125000</v>
      </c>
      <c r="W10" s="2">
        <v>15</v>
      </c>
      <c r="X10" s="2">
        <v>0</v>
      </c>
      <c r="Y10" s="2">
        <v>0</v>
      </c>
      <c r="Z10" s="2">
        <v>0</v>
      </c>
      <c r="AA10" s="2">
        <v>16</v>
      </c>
      <c r="AB10" s="2" t="s">
        <v>317</v>
      </c>
      <c r="AC10" s="2">
        <v>3</v>
      </c>
      <c r="AD10" s="2"/>
      <c r="AE10" t="s">
        <v>445</v>
      </c>
      <c r="AG10" s="2" t="s">
        <v>646</v>
      </c>
      <c r="AH10" s="2" t="s">
        <v>104</v>
      </c>
      <c r="AI10" s="2">
        <v>2</v>
      </c>
      <c r="AJ10" s="2">
        <v>2</v>
      </c>
    </row>
    <row r="11" spans="1:40" ht="16.5" customHeight="1" x14ac:dyDescent="0.25">
      <c r="A11" s="2" t="s">
        <v>5</v>
      </c>
      <c r="B11" s="3">
        <v>3400</v>
      </c>
      <c r="C11" s="2">
        <v>1</v>
      </c>
      <c r="D11" s="2">
        <v>2</v>
      </c>
      <c r="E11" s="2">
        <v>5</v>
      </c>
      <c r="F11" s="2" t="s">
        <v>107</v>
      </c>
      <c r="G11" s="10">
        <v>2</v>
      </c>
      <c r="H11" s="8" t="s">
        <v>558</v>
      </c>
      <c r="I11" s="8" t="s">
        <v>99</v>
      </c>
      <c r="J11" s="8">
        <v>0</v>
      </c>
      <c r="K11" s="8">
        <v>360</v>
      </c>
      <c r="L11" s="8">
        <v>3</v>
      </c>
      <c r="M11" s="8">
        <v>30</v>
      </c>
      <c r="N11" s="8">
        <v>8</v>
      </c>
      <c r="O11" s="8">
        <v>1</v>
      </c>
      <c r="P11" s="8" t="s">
        <v>104</v>
      </c>
      <c r="Q11" s="2" t="s">
        <v>117</v>
      </c>
      <c r="R11" s="2" t="s">
        <v>318</v>
      </c>
      <c r="S11" s="2">
        <v>4</v>
      </c>
      <c r="T11" s="2">
        <v>0</v>
      </c>
      <c r="U11" s="2">
        <v>0</v>
      </c>
      <c r="V11" s="3">
        <v>1125000</v>
      </c>
      <c r="W11" s="2">
        <v>35</v>
      </c>
      <c r="X11" s="2">
        <v>0</v>
      </c>
      <c r="Y11" s="2">
        <v>0</v>
      </c>
      <c r="Z11" s="2">
        <v>0</v>
      </c>
      <c r="AA11" s="2">
        <v>20</v>
      </c>
      <c r="AB11" s="2" t="s">
        <v>319</v>
      </c>
      <c r="AC11" s="2">
        <v>2</v>
      </c>
      <c r="AD11" s="2" t="s">
        <v>274</v>
      </c>
      <c r="AE11" t="s">
        <v>445</v>
      </c>
      <c r="AG11" s="2" t="s">
        <v>647</v>
      </c>
      <c r="AH11" s="2" t="s">
        <v>102</v>
      </c>
      <c r="AI11" s="2">
        <v>2</v>
      </c>
      <c r="AJ11" s="2">
        <v>3</v>
      </c>
    </row>
    <row r="12" spans="1:40" ht="16.5" customHeight="1" x14ac:dyDescent="0.25">
      <c r="A12" s="124" t="s">
        <v>310</v>
      </c>
      <c r="B12" s="124">
        <v>1</v>
      </c>
      <c r="C12" s="124"/>
      <c r="D12" s="124">
        <v>1</v>
      </c>
      <c r="E12" s="124">
        <v>1</v>
      </c>
      <c r="F12" s="2" t="s">
        <v>108</v>
      </c>
      <c r="G12" s="10">
        <v>1</v>
      </c>
      <c r="H12" s="8" t="s">
        <v>563</v>
      </c>
      <c r="I12" s="8" t="s">
        <v>99</v>
      </c>
      <c r="J12" s="8">
        <v>5</v>
      </c>
      <c r="K12" s="8">
        <v>360</v>
      </c>
      <c r="L12" s="8">
        <v>4</v>
      </c>
      <c r="M12" s="8">
        <v>3</v>
      </c>
      <c r="N12" s="8">
        <v>8</v>
      </c>
      <c r="O12" s="8">
        <v>1</v>
      </c>
      <c r="P12" s="8" t="s">
        <v>104</v>
      </c>
      <c r="Q12" s="2" t="s">
        <v>118</v>
      </c>
      <c r="R12" s="115" t="s">
        <v>670</v>
      </c>
      <c r="AG12" s="2" t="s">
        <v>648</v>
      </c>
      <c r="AH12" s="2" t="s">
        <v>132</v>
      </c>
      <c r="AI12" s="2">
        <v>2</v>
      </c>
      <c r="AJ12" s="2">
        <v>4</v>
      </c>
    </row>
    <row r="13" spans="1:40" ht="16.5" customHeight="1" x14ac:dyDescent="0.25">
      <c r="A13" s="124" t="s">
        <v>64</v>
      </c>
      <c r="B13" s="124">
        <v>50</v>
      </c>
      <c r="C13" s="124">
        <v>1</v>
      </c>
      <c r="D13" s="124">
        <v>1</v>
      </c>
      <c r="E13" s="124">
        <v>1</v>
      </c>
      <c r="F13" s="2" t="s">
        <v>109</v>
      </c>
      <c r="G13" s="10">
        <v>2</v>
      </c>
      <c r="H13" s="8" t="s">
        <v>558</v>
      </c>
      <c r="I13" s="8" t="s">
        <v>99</v>
      </c>
      <c r="J13" s="8">
        <v>0</v>
      </c>
      <c r="K13" s="8">
        <v>360</v>
      </c>
      <c r="L13" s="8">
        <v>3</v>
      </c>
      <c r="M13" s="8">
        <v>30</v>
      </c>
      <c r="N13" s="8">
        <v>4</v>
      </c>
      <c r="O13" s="8">
        <v>1</v>
      </c>
      <c r="P13" s="8" t="s">
        <v>104</v>
      </c>
      <c r="Q13" s="2" t="s">
        <v>119</v>
      </c>
      <c r="R13" s="2" t="s">
        <v>328</v>
      </c>
      <c r="S13" s="2">
        <v>6</v>
      </c>
      <c r="T13" s="2">
        <v>-1</v>
      </c>
      <c r="U13" s="2">
        <v>-1</v>
      </c>
      <c r="V13" s="2">
        <v>45</v>
      </c>
      <c r="W13" s="2">
        <v>30</v>
      </c>
      <c r="X13" s="2">
        <v>0</v>
      </c>
      <c r="Y13" s="2">
        <v>0</v>
      </c>
      <c r="Z13" s="2">
        <v>0</v>
      </c>
      <c r="AA13" s="2">
        <v>4</v>
      </c>
      <c r="AB13" s="2">
        <v>1</v>
      </c>
      <c r="AC13" s="2">
        <v>1</v>
      </c>
      <c r="AD13" s="2"/>
      <c r="AE13" t="s">
        <v>446</v>
      </c>
      <c r="AG13" s="2" t="s">
        <v>608</v>
      </c>
      <c r="AH13" s="2" t="s">
        <v>102</v>
      </c>
      <c r="AI13" s="2">
        <v>4</v>
      </c>
      <c r="AJ13" s="2">
        <v>50</v>
      </c>
    </row>
    <row r="14" spans="1:40" ht="16.5" customHeight="1" x14ac:dyDescent="0.25">
      <c r="A14" s="124" t="s">
        <v>93</v>
      </c>
      <c r="B14" s="124">
        <v>100</v>
      </c>
      <c r="C14" s="124">
        <v>3</v>
      </c>
      <c r="D14" s="124">
        <v>1</v>
      </c>
      <c r="E14" s="124">
        <v>1</v>
      </c>
      <c r="F14" s="2" t="s">
        <v>110</v>
      </c>
      <c r="G14" s="10">
        <v>2</v>
      </c>
      <c r="H14" s="8" t="s">
        <v>558</v>
      </c>
      <c r="I14" s="8" t="s">
        <v>111</v>
      </c>
      <c r="J14" s="8">
        <v>0</v>
      </c>
      <c r="K14" s="8">
        <v>360</v>
      </c>
      <c r="L14" s="8">
        <v>4</v>
      </c>
      <c r="M14" s="8">
        <v>20</v>
      </c>
      <c r="N14" s="8">
        <v>8</v>
      </c>
      <c r="O14" s="8">
        <v>1</v>
      </c>
      <c r="P14" s="8" t="s">
        <v>104</v>
      </c>
      <c r="Q14" s="2" t="s">
        <v>178</v>
      </c>
      <c r="R14" s="2" t="s">
        <v>329</v>
      </c>
      <c r="S14" s="2">
        <v>7</v>
      </c>
      <c r="T14" s="2">
        <v>-1</v>
      </c>
      <c r="U14" s="2">
        <v>-1</v>
      </c>
      <c r="V14" s="2">
        <v>55</v>
      </c>
      <c r="W14" s="2">
        <v>40</v>
      </c>
      <c r="X14" s="2">
        <v>0</v>
      </c>
      <c r="Y14" s="2">
        <v>0</v>
      </c>
      <c r="Z14" s="2">
        <v>0</v>
      </c>
      <c r="AA14" s="2">
        <v>4</v>
      </c>
      <c r="AB14" s="2">
        <v>1</v>
      </c>
      <c r="AC14" s="2">
        <v>1</v>
      </c>
      <c r="AD14" s="2"/>
      <c r="AE14" t="s">
        <v>446</v>
      </c>
      <c r="AG14" s="2" t="s">
        <v>628</v>
      </c>
      <c r="AH14" s="2" t="s">
        <v>104</v>
      </c>
      <c r="AI14" s="2">
        <v>2</v>
      </c>
      <c r="AJ14" s="2">
        <v>1</v>
      </c>
    </row>
    <row r="15" spans="1:40" ht="16.5" customHeight="1" x14ac:dyDescent="0.25">
      <c r="A15" s="124" t="s">
        <v>94</v>
      </c>
      <c r="B15" s="124">
        <v>10</v>
      </c>
      <c r="C15" s="124">
        <v>2</v>
      </c>
      <c r="D15" s="124">
        <v>1</v>
      </c>
      <c r="E15" s="124">
        <v>1</v>
      </c>
      <c r="F15" s="2" t="s">
        <v>112</v>
      </c>
      <c r="G15" s="10">
        <v>2</v>
      </c>
      <c r="H15" s="8" t="s">
        <v>558</v>
      </c>
      <c r="I15" s="8" t="s">
        <v>111</v>
      </c>
      <c r="J15" s="8">
        <v>0</v>
      </c>
      <c r="K15" s="16">
        <v>3600</v>
      </c>
      <c r="L15" s="8">
        <v>3</v>
      </c>
      <c r="M15" s="8">
        <v>10</v>
      </c>
      <c r="N15" s="8">
        <v>8</v>
      </c>
      <c r="O15" s="8" t="s">
        <v>120</v>
      </c>
      <c r="P15" s="8" t="s">
        <v>102</v>
      </c>
      <c r="Q15" s="2" t="s">
        <v>121</v>
      </c>
      <c r="R15" s="2" t="s">
        <v>330</v>
      </c>
      <c r="S15" s="2">
        <v>7</v>
      </c>
      <c r="T15" s="2">
        <v>-1</v>
      </c>
      <c r="U15" s="2">
        <v>-1</v>
      </c>
      <c r="V15" s="2">
        <v>360</v>
      </c>
      <c r="W15" s="2">
        <v>30</v>
      </c>
      <c r="X15" s="2">
        <v>0</v>
      </c>
      <c r="Y15" s="2">
        <v>0</v>
      </c>
      <c r="Z15" s="2">
        <v>0</v>
      </c>
      <c r="AA15" s="2">
        <v>8</v>
      </c>
      <c r="AB15" s="2">
        <v>1</v>
      </c>
      <c r="AC15" s="2">
        <v>2</v>
      </c>
      <c r="AD15" s="2"/>
      <c r="AE15" t="s">
        <v>446</v>
      </c>
      <c r="AG15" s="2" t="s">
        <v>629</v>
      </c>
      <c r="AH15" s="2" t="s">
        <v>102</v>
      </c>
      <c r="AI15" s="2">
        <v>2</v>
      </c>
      <c r="AJ15" s="2">
        <v>2</v>
      </c>
    </row>
    <row r="16" spans="1:40" ht="16.5" customHeight="1" x14ac:dyDescent="0.25">
      <c r="A16" s="124" t="s">
        <v>96</v>
      </c>
      <c r="B16" s="124">
        <v>100</v>
      </c>
      <c r="C16" s="124">
        <v>3</v>
      </c>
      <c r="D16" s="124">
        <v>1</v>
      </c>
      <c r="E16" s="124">
        <v>1</v>
      </c>
      <c r="F16" s="2" t="s">
        <v>113</v>
      </c>
      <c r="G16" s="10">
        <v>2</v>
      </c>
      <c r="H16" s="8" t="s">
        <v>558</v>
      </c>
      <c r="I16" s="8" t="s">
        <v>111</v>
      </c>
      <c r="J16" s="8">
        <v>0</v>
      </c>
      <c r="K16" s="16">
        <v>4000</v>
      </c>
      <c r="L16" s="8">
        <v>4</v>
      </c>
      <c r="M16" s="8">
        <v>10</v>
      </c>
      <c r="N16" s="8">
        <v>12</v>
      </c>
      <c r="O16" s="8" t="s">
        <v>120</v>
      </c>
      <c r="P16" s="8" t="s">
        <v>102</v>
      </c>
      <c r="Q16" s="2" t="s">
        <v>122</v>
      </c>
      <c r="R16" s="2" t="s">
        <v>331</v>
      </c>
      <c r="S16" s="2">
        <v>5</v>
      </c>
      <c r="T16" s="2">
        <v>-2</v>
      </c>
      <c r="U16" s="2">
        <v>-1</v>
      </c>
      <c r="V16" s="2">
        <v>360</v>
      </c>
      <c r="W16" s="2">
        <v>40</v>
      </c>
      <c r="X16" s="2">
        <v>0</v>
      </c>
      <c r="Y16" s="2">
        <v>0</v>
      </c>
      <c r="Z16" s="2">
        <v>0</v>
      </c>
      <c r="AA16" s="2">
        <v>8</v>
      </c>
      <c r="AB16" s="2">
        <v>1</v>
      </c>
      <c r="AC16" s="2">
        <v>2</v>
      </c>
      <c r="AD16" s="2"/>
      <c r="AE16" t="s">
        <v>446</v>
      </c>
      <c r="AG16" s="2" t="s">
        <v>630</v>
      </c>
      <c r="AH16" s="2" t="s">
        <v>132</v>
      </c>
      <c r="AI16" s="2">
        <v>2</v>
      </c>
      <c r="AJ16" s="2">
        <v>4</v>
      </c>
    </row>
    <row r="17" spans="1:36" ht="16.5" customHeight="1" x14ac:dyDescent="0.25">
      <c r="A17" s="124" t="s">
        <v>95</v>
      </c>
      <c r="B17" s="124">
        <v>500</v>
      </c>
      <c r="C17" s="124">
        <v>3</v>
      </c>
      <c r="D17" s="124">
        <v>4</v>
      </c>
      <c r="E17" s="124">
        <v>1</v>
      </c>
      <c r="F17" s="2" t="s">
        <v>114</v>
      </c>
      <c r="G17" s="10">
        <v>2</v>
      </c>
      <c r="H17" s="8" t="s">
        <v>563</v>
      </c>
      <c r="I17" s="8" t="s">
        <v>111</v>
      </c>
      <c r="J17" s="8">
        <v>2</v>
      </c>
      <c r="K17" s="16">
        <v>5000</v>
      </c>
      <c r="L17" s="8">
        <v>4</v>
      </c>
      <c r="M17" s="8">
        <v>10</v>
      </c>
      <c r="N17" s="8">
        <v>12</v>
      </c>
      <c r="O17" s="8" t="s">
        <v>123</v>
      </c>
      <c r="P17" s="8" t="s">
        <v>102</v>
      </c>
      <c r="Q17" s="2" t="s">
        <v>177</v>
      </c>
      <c r="R17" s="2" t="s">
        <v>332</v>
      </c>
      <c r="S17" s="2">
        <v>8</v>
      </c>
      <c r="T17" s="2">
        <v>-2</v>
      </c>
      <c r="U17" s="2">
        <v>-1</v>
      </c>
      <c r="V17" s="2">
        <v>520</v>
      </c>
      <c r="W17" s="2">
        <v>35</v>
      </c>
      <c r="X17" s="2">
        <v>0</v>
      </c>
      <c r="Y17" s="2">
        <v>0</v>
      </c>
      <c r="Z17" s="2">
        <v>0</v>
      </c>
      <c r="AA17" s="2">
        <v>12</v>
      </c>
      <c r="AB17" s="2">
        <v>2</v>
      </c>
      <c r="AC17" s="2">
        <v>2</v>
      </c>
      <c r="AD17" s="2"/>
      <c r="AE17" t="s">
        <v>446</v>
      </c>
      <c r="AG17" s="2" t="s">
        <v>631</v>
      </c>
      <c r="AH17" s="2" t="s">
        <v>609</v>
      </c>
      <c r="AI17" s="2">
        <v>2</v>
      </c>
      <c r="AJ17" s="2">
        <v>6</v>
      </c>
    </row>
    <row r="18" spans="1:36" ht="16.5" customHeight="1" x14ac:dyDescent="0.25">
      <c r="A18" s="124" t="s">
        <v>65</v>
      </c>
      <c r="B18" s="124">
        <v>1</v>
      </c>
      <c r="C18" s="124"/>
      <c r="D18" s="124">
        <v>1</v>
      </c>
      <c r="E18" s="124">
        <v>1</v>
      </c>
      <c r="F18" s="2" t="s">
        <v>124</v>
      </c>
      <c r="G18" s="10">
        <v>2</v>
      </c>
      <c r="H18" s="8" t="s">
        <v>558</v>
      </c>
      <c r="I18" s="8" t="s">
        <v>111</v>
      </c>
      <c r="J18" s="8">
        <v>2</v>
      </c>
      <c r="K18" s="16">
        <v>7000</v>
      </c>
      <c r="L18" s="8">
        <v>3</v>
      </c>
      <c r="M18" s="8" t="s">
        <v>125</v>
      </c>
      <c r="N18" s="8">
        <v>12</v>
      </c>
      <c r="O18" s="8" t="s">
        <v>20</v>
      </c>
      <c r="P18" s="8" t="s">
        <v>102</v>
      </c>
      <c r="Q18" s="2" t="s">
        <v>126</v>
      </c>
      <c r="R18" s="2" t="s">
        <v>333</v>
      </c>
      <c r="S18" s="2">
        <v>9</v>
      </c>
      <c r="T18" s="2">
        <v>-1</v>
      </c>
      <c r="U18" s="2">
        <v>-1</v>
      </c>
      <c r="V18" s="3">
        <v>45000</v>
      </c>
      <c r="W18" s="2">
        <v>40</v>
      </c>
      <c r="X18" s="2">
        <v>4</v>
      </c>
      <c r="Y18" s="2">
        <v>0</v>
      </c>
      <c r="Z18" s="2">
        <v>0</v>
      </c>
      <c r="AA18" s="2">
        <v>20</v>
      </c>
      <c r="AB18" s="2">
        <v>8</v>
      </c>
      <c r="AC18" s="2">
        <v>2</v>
      </c>
      <c r="AD18" s="2"/>
      <c r="AE18" t="s">
        <v>446</v>
      </c>
      <c r="AG18" s="2" t="s">
        <v>632</v>
      </c>
      <c r="AH18" s="2" t="s">
        <v>610</v>
      </c>
      <c r="AI18" s="2">
        <v>2</v>
      </c>
      <c r="AJ18" s="2">
        <v>10</v>
      </c>
    </row>
    <row r="19" spans="1:36" ht="16.5" customHeight="1" x14ac:dyDescent="0.25">
      <c r="A19" s="124" t="s">
        <v>66</v>
      </c>
      <c r="B19" s="124">
        <v>10</v>
      </c>
      <c r="C19" s="124"/>
      <c r="D19" s="124">
        <v>1</v>
      </c>
      <c r="E19" s="124">
        <v>1</v>
      </c>
      <c r="F19" s="2" t="s">
        <v>127</v>
      </c>
      <c r="G19" s="10">
        <v>2</v>
      </c>
      <c r="H19" s="8" t="s">
        <v>558</v>
      </c>
      <c r="I19" s="8" t="s">
        <v>111</v>
      </c>
      <c r="J19" s="8">
        <v>2</v>
      </c>
      <c r="K19" s="16">
        <v>10000</v>
      </c>
      <c r="L19" s="8">
        <v>3</v>
      </c>
      <c r="M19" s="8" t="s">
        <v>128</v>
      </c>
      <c r="N19" s="8">
        <v>12</v>
      </c>
      <c r="O19" s="8" t="s">
        <v>20</v>
      </c>
      <c r="P19" s="8" t="s">
        <v>104</v>
      </c>
      <c r="Q19" s="2" t="s">
        <v>129</v>
      </c>
      <c r="R19" s="2" t="s">
        <v>334</v>
      </c>
      <c r="S19" s="2">
        <v>10</v>
      </c>
      <c r="T19" s="2">
        <v>0</v>
      </c>
      <c r="U19" s="2">
        <v>-1</v>
      </c>
      <c r="V19" s="3">
        <v>65000</v>
      </c>
      <c r="W19" s="2">
        <v>45</v>
      </c>
      <c r="X19" s="2">
        <v>5</v>
      </c>
      <c r="Y19" s="2">
        <v>0</v>
      </c>
      <c r="Z19" s="2">
        <v>0</v>
      </c>
      <c r="AA19" s="2">
        <v>20</v>
      </c>
      <c r="AB19" s="2">
        <v>17</v>
      </c>
      <c r="AC19" s="2">
        <v>3</v>
      </c>
      <c r="AD19" s="2"/>
      <c r="AE19" t="s">
        <v>446</v>
      </c>
      <c r="AG19" s="2" t="s">
        <v>633</v>
      </c>
      <c r="AH19" s="2" t="s">
        <v>611</v>
      </c>
      <c r="AI19" s="2">
        <v>2</v>
      </c>
      <c r="AJ19" s="2">
        <v>20</v>
      </c>
    </row>
    <row r="20" spans="1:36" ht="16.5" customHeight="1" x14ac:dyDescent="0.25">
      <c r="A20" s="124" t="s">
        <v>67</v>
      </c>
      <c r="B20" s="124">
        <v>20</v>
      </c>
      <c r="C20" s="124"/>
      <c r="D20" s="124">
        <v>1</v>
      </c>
      <c r="E20" s="124">
        <v>1</v>
      </c>
      <c r="F20" s="2" t="s">
        <v>130</v>
      </c>
      <c r="G20" s="10">
        <v>2</v>
      </c>
      <c r="H20" s="8" t="s">
        <v>558</v>
      </c>
      <c r="I20" s="8" t="s">
        <v>111</v>
      </c>
      <c r="J20" s="8">
        <v>5</v>
      </c>
      <c r="K20" s="16">
        <v>10000</v>
      </c>
      <c r="L20" s="8">
        <v>3</v>
      </c>
      <c r="M20" s="8" t="s">
        <v>125</v>
      </c>
      <c r="N20" s="8">
        <v>16</v>
      </c>
      <c r="O20" s="8" t="s">
        <v>131</v>
      </c>
      <c r="P20" s="8" t="s">
        <v>132</v>
      </c>
      <c r="Q20" s="2" t="s">
        <v>133</v>
      </c>
      <c r="R20" s="116" t="s">
        <v>671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G20" s="2" t="s">
        <v>612</v>
      </c>
      <c r="AH20" s="2" t="s">
        <v>63</v>
      </c>
      <c r="AI20" s="2">
        <v>4</v>
      </c>
      <c r="AJ20" s="2">
        <v>200</v>
      </c>
    </row>
    <row r="21" spans="1:36" ht="16.5" customHeight="1" x14ac:dyDescent="0.25">
      <c r="A21" s="124" t="s">
        <v>68</v>
      </c>
      <c r="B21" s="124">
        <v>25</v>
      </c>
      <c r="C21" s="124">
        <v>0.5</v>
      </c>
      <c r="D21" s="124">
        <v>1</v>
      </c>
      <c r="E21" s="124">
        <v>1</v>
      </c>
      <c r="F21" s="2" t="s">
        <v>134</v>
      </c>
      <c r="G21" s="10">
        <v>2</v>
      </c>
      <c r="H21" s="8" t="s">
        <v>558</v>
      </c>
      <c r="I21" s="8" t="s">
        <v>111</v>
      </c>
      <c r="J21" s="8">
        <v>5</v>
      </c>
      <c r="K21" s="16">
        <v>20000</v>
      </c>
      <c r="L21" s="8">
        <v>3</v>
      </c>
      <c r="M21" s="8" t="s">
        <v>135</v>
      </c>
      <c r="N21" s="8">
        <v>16</v>
      </c>
      <c r="O21" s="8" t="s">
        <v>136</v>
      </c>
      <c r="P21" s="8" t="s">
        <v>132</v>
      </c>
      <c r="Q21" s="2" t="s">
        <v>175</v>
      </c>
      <c r="R21" s="2" t="s">
        <v>335</v>
      </c>
      <c r="S21" s="2">
        <v>4</v>
      </c>
      <c r="T21" s="2">
        <v>0</v>
      </c>
      <c r="U21" s="2">
        <v>0</v>
      </c>
      <c r="V21" s="3">
        <v>1125000</v>
      </c>
      <c r="W21" s="2">
        <v>265</v>
      </c>
      <c r="X21" s="2">
        <v>5</v>
      </c>
      <c r="Y21" s="2">
        <v>15</v>
      </c>
      <c r="Z21" s="2">
        <v>5</v>
      </c>
      <c r="AA21" s="2">
        <v>40</v>
      </c>
      <c r="AB21" s="2" t="s">
        <v>10</v>
      </c>
      <c r="AC21" s="2">
        <v>3</v>
      </c>
      <c r="AD21" s="2" t="s">
        <v>274</v>
      </c>
      <c r="AE21" t="s">
        <v>445</v>
      </c>
      <c r="AF21" t="s">
        <v>438</v>
      </c>
      <c r="AG21" s="2" t="s">
        <v>634</v>
      </c>
      <c r="AH21" s="2" t="s">
        <v>613</v>
      </c>
      <c r="AI21" s="2">
        <v>2</v>
      </c>
      <c r="AJ21" s="2">
        <v>100</v>
      </c>
    </row>
    <row r="22" spans="1:36" ht="16.5" customHeight="1" x14ac:dyDescent="0.25">
      <c r="A22" s="124" t="s">
        <v>69</v>
      </c>
      <c r="B22" s="124">
        <v>15</v>
      </c>
      <c r="C22" s="124">
        <v>0.5</v>
      </c>
      <c r="D22" s="124">
        <v>1</v>
      </c>
      <c r="E22" s="124">
        <v>1</v>
      </c>
      <c r="F22" s="2" t="s">
        <v>137</v>
      </c>
      <c r="G22" s="10">
        <v>2</v>
      </c>
      <c r="H22" s="8" t="s">
        <v>558</v>
      </c>
      <c r="I22" s="8" t="s">
        <v>111</v>
      </c>
      <c r="J22" s="8">
        <v>5</v>
      </c>
      <c r="K22" s="16">
        <v>20000</v>
      </c>
      <c r="L22" s="8">
        <v>3</v>
      </c>
      <c r="M22" s="8" t="s">
        <v>135</v>
      </c>
      <c r="N22" s="8">
        <v>20</v>
      </c>
      <c r="O22" s="8" t="s">
        <v>136</v>
      </c>
      <c r="P22" s="8" t="s">
        <v>132</v>
      </c>
      <c r="Q22" s="2" t="s">
        <v>174</v>
      </c>
      <c r="R22" s="2" t="s">
        <v>336</v>
      </c>
      <c r="S22" s="2">
        <v>5</v>
      </c>
      <c r="T22" s="2">
        <v>-1</v>
      </c>
      <c r="U22" s="2">
        <v>0</v>
      </c>
      <c r="V22" s="3">
        <v>1625000</v>
      </c>
      <c r="W22" s="2">
        <v>565</v>
      </c>
      <c r="X22" s="2">
        <v>5</v>
      </c>
      <c r="Y22" s="2">
        <v>20</v>
      </c>
      <c r="Z22" s="2">
        <v>5</v>
      </c>
      <c r="AA22" s="2">
        <v>40</v>
      </c>
      <c r="AB22" s="2" t="s">
        <v>10</v>
      </c>
      <c r="AC22" s="2">
        <v>3</v>
      </c>
      <c r="AD22" s="2" t="s">
        <v>274</v>
      </c>
      <c r="AE22" t="s">
        <v>445</v>
      </c>
      <c r="AG22" s="2" t="s">
        <v>635</v>
      </c>
      <c r="AH22" s="2" t="s">
        <v>614</v>
      </c>
      <c r="AI22" s="2">
        <v>2</v>
      </c>
      <c r="AJ22" s="2">
        <v>100</v>
      </c>
    </row>
    <row r="23" spans="1:36" ht="16.5" customHeight="1" x14ac:dyDescent="0.25">
      <c r="A23" s="2" t="s">
        <v>6</v>
      </c>
      <c r="B23" s="3">
        <v>105000</v>
      </c>
      <c r="C23" s="2">
        <v>2</v>
      </c>
      <c r="D23" s="2">
        <v>20</v>
      </c>
      <c r="E23" s="2">
        <v>19</v>
      </c>
      <c r="F23" s="112" t="s">
        <v>663</v>
      </c>
      <c r="R23" s="2" t="s">
        <v>337</v>
      </c>
      <c r="S23" s="2">
        <v>5</v>
      </c>
      <c r="T23" s="2">
        <v>-1</v>
      </c>
      <c r="U23" s="2">
        <v>0</v>
      </c>
      <c r="V23" s="3">
        <v>1625000</v>
      </c>
      <c r="W23" s="2">
        <v>700</v>
      </c>
      <c r="X23" s="2">
        <v>5</v>
      </c>
      <c r="Y23" s="2">
        <v>30</v>
      </c>
      <c r="Z23" s="2">
        <v>5</v>
      </c>
      <c r="AA23" s="2">
        <v>60</v>
      </c>
      <c r="AB23" s="2" t="s">
        <v>338</v>
      </c>
      <c r="AC23" s="2">
        <v>3</v>
      </c>
      <c r="AD23" s="2" t="s">
        <v>274</v>
      </c>
      <c r="AE23" t="s">
        <v>445</v>
      </c>
      <c r="AG23" s="2" t="s">
        <v>615</v>
      </c>
      <c r="AH23" s="2" t="s">
        <v>63</v>
      </c>
      <c r="AI23" s="2">
        <v>2</v>
      </c>
      <c r="AJ23" s="2">
        <v>5</v>
      </c>
    </row>
    <row r="24" spans="1:36" ht="16.5" customHeight="1" x14ac:dyDescent="0.25">
      <c r="A24" s="2" t="s">
        <v>7</v>
      </c>
      <c r="B24" s="3">
        <v>1800</v>
      </c>
      <c r="C24" s="2">
        <v>0.5</v>
      </c>
      <c r="D24" s="2">
        <v>2</v>
      </c>
      <c r="E24" s="2">
        <v>6</v>
      </c>
      <c r="F24" s="2" t="s">
        <v>138</v>
      </c>
      <c r="G24" s="10">
        <v>3</v>
      </c>
      <c r="H24" s="8" t="s">
        <v>563</v>
      </c>
      <c r="I24" s="8" t="s">
        <v>111</v>
      </c>
      <c r="J24" s="8">
        <v>2</v>
      </c>
      <c r="K24" s="8">
        <v>360</v>
      </c>
      <c r="L24" s="8">
        <v>9</v>
      </c>
      <c r="M24" s="8">
        <v>50</v>
      </c>
      <c r="N24" s="8">
        <v>4</v>
      </c>
      <c r="O24" s="8">
        <v>1</v>
      </c>
      <c r="P24" s="8" t="s">
        <v>104</v>
      </c>
      <c r="Q24" s="2" t="s">
        <v>119</v>
      </c>
      <c r="R24" s="116" t="s">
        <v>672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G24" s="2" t="s">
        <v>616</v>
      </c>
      <c r="AH24" s="2" t="s">
        <v>63</v>
      </c>
      <c r="AI24" s="2">
        <v>2</v>
      </c>
      <c r="AJ24" s="2">
        <v>4</v>
      </c>
    </row>
    <row r="25" spans="1:36" ht="16.5" customHeight="1" x14ac:dyDescent="0.25">
      <c r="A25" s="124" t="s">
        <v>70</v>
      </c>
      <c r="B25" s="124">
        <v>20</v>
      </c>
      <c r="C25" s="124">
        <v>2</v>
      </c>
      <c r="D25" s="124">
        <v>1</v>
      </c>
      <c r="E25" s="124">
        <v>1</v>
      </c>
      <c r="F25" s="2" t="s">
        <v>116</v>
      </c>
      <c r="G25" s="10">
        <v>2</v>
      </c>
      <c r="H25" s="8" t="s">
        <v>564</v>
      </c>
      <c r="I25" s="12" t="s">
        <v>173</v>
      </c>
      <c r="J25" s="8">
        <v>0</v>
      </c>
      <c r="K25" s="8">
        <v>360</v>
      </c>
      <c r="L25" s="8">
        <v>10</v>
      </c>
      <c r="M25" s="8">
        <v>6</v>
      </c>
      <c r="N25" s="8">
        <v>4</v>
      </c>
      <c r="O25" s="8">
        <v>1</v>
      </c>
      <c r="P25" s="8" t="s">
        <v>104</v>
      </c>
      <c r="Q25" s="2" t="s">
        <v>116</v>
      </c>
      <c r="R25" s="2" t="s">
        <v>339</v>
      </c>
      <c r="S25" s="2">
        <v>11</v>
      </c>
      <c r="T25" s="2">
        <v>-2</v>
      </c>
      <c r="U25" s="2">
        <v>-1</v>
      </c>
      <c r="V25" s="3">
        <v>105000</v>
      </c>
      <c r="W25" s="2">
        <v>945</v>
      </c>
      <c r="X25" s="2">
        <v>5</v>
      </c>
      <c r="Y25" s="2">
        <v>20</v>
      </c>
      <c r="Z25" s="2">
        <v>5</v>
      </c>
      <c r="AA25" s="2">
        <v>30</v>
      </c>
      <c r="AB25" s="2" t="s">
        <v>340</v>
      </c>
      <c r="AC25" s="2">
        <v>3</v>
      </c>
      <c r="AD25" s="2" t="s">
        <v>274</v>
      </c>
      <c r="AE25" t="s">
        <v>446</v>
      </c>
      <c r="AG25" s="2" t="s">
        <v>636</v>
      </c>
      <c r="AH25" s="2" t="s">
        <v>104</v>
      </c>
      <c r="AI25" s="2">
        <v>2</v>
      </c>
      <c r="AJ25" s="2">
        <v>2</v>
      </c>
    </row>
    <row r="26" spans="1:36" ht="16.5" customHeight="1" x14ac:dyDescent="0.25">
      <c r="A26" s="2" t="s">
        <v>8</v>
      </c>
      <c r="B26" s="3">
        <v>2600</v>
      </c>
      <c r="C26" s="2">
        <v>0.5</v>
      </c>
      <c r="D26" s="2">
        <v>2</v>
      </c>
      <c r="E26" s="2">
        <v>7</v>
      </c>
      <c r="F26" s="2" t="s">
        <v>139</v>
      </c>
      <c r="G26" s="10">
        <v>2</v>
      </c>
      <c r="H26" s="8" t="s">
        <v>564</v>
      </c>
      <c r="I26" s="12" t="s">
        <v>173</v>
      </c>
      <c r="J26" s="8">
        <v>0</v>
      </c>
      <c r="K26" s="8">
        <v>360</v>
      </c>
      <c r="L26" s="8">
        <v>3</v>
      </c>
      <c r="M26" s="8">
        <v>3</v>
      </c>
      <c r="N26" s="8">
        <v>4</v>
      </c>
      <c r="O26" s="8">
        <v>1</v>
      </c>
      <c r="P26" s="8" t="s">
        <v>104</v>
      </c>
      <c r="Q26" s="2" t="s">
        <v>116</v>
      </c>
      <c r="R26" s="2" t="s">
        <v>341</v>
      </c>
      <c r="S26" s="2">
        <v>11</v>
      </c>
      <c r="T26" s="2">
        <v>-2</v>
      </c>
      <c r="U26" s="2">
        <v>-1</v>
      </c>
      <c r="V26" s="3">
        <v>105000</v>
      </c>
      <c r="W26" s="3">
        <v>1000</v>
      </c>
      <c r="X26" s="2">
        <v>5</v>
      </c>
      <c r="Y26" s="2">
        <v>20</v>
      </c>
      <c r="Z26" s="2">
        <v>5</v>
      </c>
      <c r="AA26" s="2">
        <v>40</v>
      </c>
      <c r="AB26" s="2" t="s">
        <v>340</v>
      </c>
      <c r="AC26" s="2">
        <v>3</v>
      </c>
      <c r="AD26" s="2" t="s">
        <v>274</v>
      </c>
      <c r="AE26" t="s">
        <v>446</v>
      </c>
      <c r="AG26" s="2" t="s">
        <v>637</v>
      </c>
      <c r="AH26" s="2" t="s">
        <v>102</v>
      </c>
      <c r="AI26" s="2">
        <v>2</v>
      </c>
      <c r="AJ26" s="2">
        <v>3</v>
      </c>
    </row>
    <row r="27" spans="1:36" ht="16.5" customHeight="1" x14ac:dyDescent="0.25">
      <c r="A27" s="2" t="s">
        <v>9</v>
      </c>
      <c r="B27" s="3">
        <v>425000</v>
      </c>
      <c r="C27" s="2">
        <v>10</v>
      </c>
      <c r="D27" s="2">
        <v>30</v>
      </c>
      <c r="E27" s="2" t="s">
        <v>10</v>
      </c>
      <c r="F27" s="2" t="s">
        <v>140</v>
      </c>
      <c r="G27" s="11" t="s">
        <v>278</v>
      </c>
      <c r="H27" s="8" t="s">
        <v>563</v>
      </c>
      <c r="I27" s="8" t="s">
        <v>111</v>
      </c>
      <c r="J27" s="8">
        <v>2</v>
      </c>
      <c r="K27" s="8">
        <v>360</v>
      </c>
      <c r="L27" s="8">
        <v>8</v>
      </c>
      <c r="M27" s="8">
        <v>6</v>
      </c>
      <c r="N27" s="8">
        <v>4</v>
      </c>
      <c r="O27" s="8">
        <v>1</v>
      </c>
      <c r="P27" s="8" t="s">
        <v>104</v>
      </c>
      <c r="Q27" s="2" t="s">
        <v>141</v>
      </c>
      <c r="R27" s="2" t="s">
        <v>342</v>
      </c>
      <c r="S27" s="2">
        <v>10</v>
      </c>
      <c r="T27" s="2">
        <v>0</v>
      </c>
      <c r="U27" s="2">
        <v>-1</v>
      </c>
      <c r="V27" s="3">
        <v>105000</v>
      </c>
      <c r="W27" s="2">
        <v>850</v>
      </c>
      <c r="X27" s="2">
        <v>5</v>
      </c>
      <c r="Y27" s="2">
        <v>20</v>
      </c>
      <c r="Z27" s="2">
        <v>1</v>
      </c>
      <c r="AA27" s="2">
        <v>50</v>
      </c>
      <c r="AB27" s="2" t="s">
        <v>343</v>
      </c>
      <c r="AC27" s="2">
        <v>3</v>
      </c>
      <c r="AD27" s="2" t="s">
        <v>274</v>
      </c>
      <c r="AE27" t="s">
        <v>446</v>
      </c>
      <c r="AG27" s="2" t="s">
        <v>617</v>
      </c>
      <c r="AH27" s="2" t="s">
        <v>618</v>
      </c>
      <c r="AI27" s="2">
        <v>2</v>
      </c>
      <c r="AJ27" s="2">
        <v>2</v>
      </c>
    </row>
    <row r="28" spans="1:36" ht="16.5" customHeight="1" x14ac:dyDescent="0.25">
      <c r="A28" s="124" t="s">
        <v>72</v>
      </c>
      <c r="B28" s="124">
        <v>50</v>
      </c>
      <c r="C28" s="124">
        <v>1</v>
      </c>
      <c r="D28" s="124">
        <v>1</v>
      </c>
      <c r="E28" s="124">
        <v>1</v>
      </c>
      <c r="F28" s="2" t="s">
        <v>142</v>
      </c>
      <c r="G28" s="10">
        <v>2</v>
      </c>
      <c r="H28" s="8" t="s">
        <v>564</v>
      </c>
      <c r="I28" s="12" t="s">
        <v>173</v>
      </c>
      <c r="J28" s="8">
        <v>0</v>
      </c>
      <c r="K28" s="8">
        <v>450</v>
      </c>
      <c r="L28" s="8">
        <v>15</v>
      </c>
      <c r="M28" s="8">
        <v>40</v>
      </c>
      <c r="N28" s="8">
        <v>8</v>
      </c>
      <c r="O28" s="8">
        <v>1</v>
      </c>
      <c r="P28" s="8" t="s">
        <v>102</v>
      </c>
      <c r="Q28" s="2" t="s">
        <v>143</v>
      </c>
      <c r="R28" s="2" t="s">
        <v>344</v>
      </c>
      <c r="S28" s="2">
        <v>13</v>
      </c>
      <c r="T28" s="2">
        <v>0</v>
      </c>
      <c r="U28" s="2">
        <v>-1</v>
      </c>
      <c r="V28" s="3">
        <v>1625000</v>
      </c>
      <c r="W28" s="3">
        <v>1050</v>
      </c>
      <c r="X28" s="2">
        <v>5</v>
      </c>
      <c r="Y28" s="2">
        <v>30</v>
      </c>
      <c r="Z28" s="2">
        <v>5</v>
      </c>
      <c r="AA28" s="2">
        <v>50</v>
      </c>
      <c r="AB28" s="2" t="s">
        <v>23</v>
      </c>
      <c r="AC28" s="2">
        <v>3</v>
      </c>
      <c r="AD28" s="2" t="s">
        <v>274</v>
      </c>
      <c r="AE28" t="s">
        <v>446</v>
      </c>
      <c r="AG28" s="2" t="s">
        <v>638</v>
      </c>
      <c r="AH28" s="2" t="s">
        <v>619</v>
      </c>
      <c r="AI28" s="2">
        <v>2</v>
      </c>
      <c r="AJ28" s="2">
        <v>2</v>
      </c>
    </row>
    <row r="29" spans="1:36" ht="16.5" customHeight="1" x14ac:dyDescent="0.25">
      <c r="A29" s="124" t="s">
        <v>71</v>
      </c>
      <c r="B29" s="124">
        <v>5</v>
      </c>
      <c r="C29" s="124"/>
      <c r="D29" s="124">
        <v>1</v>
      </c>
      <c r="E29" s="124">
        <v>1</v>
      </c>
      <c r="F29" s="2" t="s">
        <v>144</v>
      </c>
      <c r="G29" s="10">
        <v>3</v>
      </c>
      <c r="H29" s="8" t="s">
        <v>558</v>
      </c>
      <c r="I29" s="8" t="s">
        <v>111</v>
      </c>
      <c r="J29" s="8">
        <v>0</v>
      </c>
      <c r="K29" s="8">
        <v>450</v>
      </c>
      <c r="L29" s="8">
        <v>6</v>
      </c>
      <c r="M29" s="8">
        <v>60</v>
      </c>
      <c r="N29" s="8">
        <v>8</v>
      </c>
      <c r="O29" s="8">
        <v>1</v>
      </c>
      <c r="P29" s="8" t="s">
        <v>104</v>
      </c>
      <c r="Q29" s="2" t="s">
        <v>119</v>
      </c>
      <c r="R29" s="2" t="s">
        <v>345</v>
      </c>
      <c r="S29" s="2">
        <v>14</v>
      </c>
      <c r="T29" s="2">
        <v>-2</v>
      </c>
      <c r="U29" s="2">
        <v>-1</v>
      </c>
      <c r="V29" s="3">
        <v>2125000</v>
      </c>
      <c r="W29" s="3">
        <v>1850</v>
      </c>
      <c r="X29" s="2">
        <v>5</v>
      </c>
      <c r="Y29" s="2">
        <v>40</v>
      </c>
      <c r="Z29" s="2">
        <v>10</v>
      </c>
      <c r="AA29" s="2">
        <v>60</v>
      </c>
      <c r="AB29" s="2" t="s">
        <v>338</v>
      </c>
      <c r="AC29" s="2">
        <v>3</v>
      </c>
      <c r="AD29" s="2" t="s">
        <v>274</v>
      </c>
      <c r="AE29" t="s">
        <v>446</v>
      </c>
      <c r="AG29" s="2" t="s">
        <v>639</v>
      </c>
      <c r="AH29" s="2" t="s">
        <v>102</v>
      </c>
      <c r="AI29" s="2">
        <v>2</v>
      </c>
      <c r="AJ29" s="2">
        <v>2</v>
      </c>
    </row>
    <row r="30" spans="1:36" ht="16.5" customHeight="1" x14ac:dyDescent="0.25">
      <c r="A30" s="2" t="s">
        <v>11</v>
      </c>
      <c r="B30" s="3">
        <v>21000</v>
      </c>
      <c r="C30" s="2">
        <v>2</v>
      </c>
      <c r="D30" s="2">
        <v>16</v>
      </c>
      <c r="E30" s="2" t="s">
        <v>12</v>
      </c>
      <c r="F30" s="2" t="s">
        <v>145</v>
      </c>
      <c r="G30" s="10">
        <v>3</v>
      </c>
      <c r="H30" s="8" t="s">
        <v>563</v>
      </c>
      <c r="I30" s="8" t="s">
        <v>111</v>
      </c>
      <c r="J30" s="8">
        <v>0</v>
      </c>
      <c r="K30" s="8">
        <v>520</v>
      </c>
      <c r="L30" s="8">
        <v>10</v>
      </c>
      <c r="M30" s="8">
        <v>100</v>
      </c>
      <c r="N30" s="8">
        <v>8</v>
      </c>
      <c r="O30" s="8">
        <v>1</v>
      </c>
      <c r="P30" s="8" t="s">
        <v>104</v>
      </c>
      <c r="Q30" s="2" t="s">
        <v>119</v>
      </c>
      <c r="R30" s="2" t="s">
        <v>346</v>
      </c>
      <c r="S30" s="2">
        <v>9</v>
      </c>
      <c r="T30" s="2">
        <v>-2</v>
      </c>
      <c r="U30" s="2">
        <v>5</v>
      </c>
      <c r="V30" s="3">
        <v>105000</v>
      </c>
      <c r="W30" s="3">
        <v>20000</v>
      </c>
      <c r="X30" s="2">
        <v>10</v>
      </c>
      <c r="Y30" s="2">
        <v>50</v>
      </c>
      <c r="Z30" s="2">
        <v>50</v>
      </c>
      <c r="AA30" s="2">
        <v>60</v>
      </c>
      <c r="AB30" s="2" t="s">
        <v>347</v>
      </c>
      <c r="AC30" s="2">
        <v>4</v>
      </c>
      <c r="AD30" s="2" t="s">
        <v>274</v>
      </c>
      <c r="AE30" t="s">
        <v>446</v>
      </c>
      <c r="AG30" s="2" t="s">
        <v>640</v>
      </c>
      <c r="AH30" s="2" t="s">
        <v>132</v>
      </c>
      <c r="AI30" s="2">
        <v>2</v>
      </c>
      <c r="AJ30" s="2">
        <v>5</v>
      </c>
    </row>
    <row r="31" spans="1:36" ht="16.5" customHeight="1" x14ac:dyDescent="0.25">
      <c r="A31" s="2" t="s">
        <v>13</v>
      </c>
      <c r="B31" s="3">
        <v>1800</v>
      </c>
      <c r="C31" s="2"/>
      <c r="D31" s="2">
        <v>8</v>
      </c>
      <c r="E31" s="2" t="s">
        <v>14</v>
      </c>
      <c r="F31" s="2" t="s">
        <v>146</v>
      </c>
      <c r="G31" s="10">
        <v>3</v>
      </c>
      <c r="H31" s="8" t="s">
        <v>563</v>
      </c>
      <c r="I31" s="8" t="s">
        <v>147</v>
      </c>
      <c r="J31" s="8">
        <v>2</v>
      </c>
      <c r="K31" s="8">
        <v>520</v>
      </c>
      <c r="L31" s="8">
        <v>15</v>
      </c>
      <c r="M31" s="8">
        <v>70</v>
      </c>
      <c r="N31" s="8">
        <v>8</v>
      </c>
      <c r="O31" s="8">
        <v>1</v>
      </c>
      <c r="P31" s="8" t="s">
        <v>104</v>
      </c>
      <c r="Q31" s="2" t="s">
        <v>117</v>
      </c>
      <c r="R31" s="2" t="s">
        <v>348</v>
      </c>
      <c r="S31" s="2">
        <v>13</v>
      </c>
      <c r="T31" s="2">
        <v>-1</v>
      </c>
      <c r="U31" s="2">
        <v>5</v>
      </c>
      <c r="V31" s="3">
        <v>1125000</v>
      </c>
      <c r="W31" s="3">
        <v>15000</v>
      </c>
      <c r="X31" s="2">
        <v>10</v>
      </c>
      <c r="Y31" s="2">
        <v>40</v>
      </c>
      <c r="Z31" s="2">
        <v>10</v>
      </c>
      <c r="AA31" s="2">
        <v>60</v>
      </c>
      <c r="AB31" s="2" t="s">
        <v>349</v>
      </c>
      <c r="AC31" s="2">
        <v>4</v>
      </c>
      <c r="AD31" s="2" t="s">
        <v>274</v>
      </c>
      <c r="AE31" t="s">
        <v>446</v>
      </c>
      <c r="AG31" s="2" t="s">
        <v>641</v>
      </c>
      <c r="AH31" s="2" t="s">
        <v>620</v>
      </c>
      <c r="AI31" s="2">
        <v>2</v>
      </c>
      <c r="AJ31" s="2">
        <v>5</v>
      </c>
    </row>
    <row r="32" spans="1:36" ht="16.5" customHeight="1" x14ac:dyDescent="0.25">
      <c r="A32" s="124" t="s">
        <v>74</v>
      </c>
      <c r="B32" s="124">
        <v>5</v>
      </c>
      <c r="C32" s="124"/>
      <c r="D32" s="124"/>
      <c r="E32" s="124">
        <v>1</v>
      </c>
      <c r="F32" s="2" t="s">
        <v>148</v>
      </c>
      <c r="G32" s="11" t="s">
        <v>185</v>
      </c>
      <c r="H32" s="8" t="s">
        <v>564</v>
      </c>
      <c r="I32" s="8" t="s">
        <v>149</v>
      </c>
      <c r="J32" s="8">
        <v>5</v>
      </c>
      <c r="K32" s="8">
        <v>520</v>
      </c>
      <c r="L32" s="8">
        <v>13</v>
      </c>
      <c r="M32" s="8">
        <v>6</v>
      </c>
      <c r="N32" s="8">
        <v>8</v>
      </c>
      <c r="O32" s="8">
        <v>1</v>
      </c>
      <c r="P32" s="8" t="s">
        <v>102</v>
      </c>
      <c r="Q32" s="2" t="s">
        <v>141</v>
      </c>
      <c r="R32" s="2" t="s">
        <v>350</v>
      </c>
      <c r="S32" s="2">
        <v>14</v>
      </c>
      <c r="T32" s="2">
        <v>-2</v>
      </c>
      <c r="U32" s="2">
        <v>6</v>
      </c>
      <c r="V32" s="3">
        <v>2125000</v>
      </c>
      <c r="W32" s="3">
        <v>30000</v>
      </c>
      <c r="X32" s="2">
        <v>10</v>
      </c>
      <c r="Y32" s="2">
        <v>60</v>
      </c>
      <c r="Z32" s="2">
        <v>60</v>
      </c>
      <c r="AA32" s="2">
        <v>60</v>
      </c>
      <c r="AB32" s="2" t="s">
        <v>338</v>
      </c>
      <c r="AC32" s="2">
        <v>4</v>
      </c>
      <c r="AD32" s="2" t="s">
        <v>274</v>
      </c>
      <c r="AE32" t="s">
        <v>446</v>
      </c>
      <c r="AG32" s="2" t="s">
        <v>642</v>
      </c>
      <c r="AH32" s="2" t="s">
        <v>621</v>
      </c>
      <c r="AI32" s="2">
        <v>2</v>
      </c>
      <c r="AJ32" s="2">
        <v>5</v>
      </c>
    </row>
    <row r="33" spans="1:36" ht="16.5" customHeight="1" x14ac:dyDescent="0.25">
      <c r="A33" s="5" t="s">
        <v>75</v>
      </c>
      <c r="B33" s="5">
        <v>50</v>
      </c>
      <c r="C33" s="5">
        <v>0.1</v>
      </c>
      <c r="D33" s="5">
        <v>2</v>
      </c>
      <c r="E33" s="5">
        <v>1</v>
      </c>
      <c r="F33" s="2" t="s">
        <v>150</v>
      </c>
      <c r="G33" s="11" t="s">
        <v>185</v>
      </c>
      <c r="H33" s="8" t="s">
        <v>563</v>
      </c>
      <c r="I33" s="8" t="s">
        <v>111</v>
      </c>
      <c r="J33" s="8">
        <v>5</v>
      </c>
      <c r="K33" s="16">
        <v>5200</v>
      </c>
      <c r="L33" s="8">
        <v>16</v>
      </c>
      <c r="M33" s="8">
        <v>10</v>
      </c>
      <c r="N33" s="8">
        <v>12</v>
      </c>
      <c r="O33" s="8" t="s">
        <v>120</v>
      </c>
      <c r="P33" s="8" t="s">
        <v>102</v>
      </c>
      <c r="Q33" s="2" t="s">
        <v>151</v>
      </c>
      <c r="R33" s="116" t="s">
        <v>673</v>
      </c>
      <c r="AG33" s="2" t="s">
        <v>643</v>
      </c>
      <c r="AH33" s="2" t="s">
        <v>622</v>
      </c>
      <c r="AI33" s="2">
        <v>3</v>
      </c>
      <c r="AJ33" s="2">
        <v>7</v>
      </c>
    </row>
    <row r="34" spans="1:36" ht="16.5" customHeight="1" x14ac:dyDescent="0.25">
      <c r="A34" s="2" t="s">
        <v>15</v>
      </c>
      <c r="B34" s="3">
        <v>425000</v>
      </c>
      <c r="C34" s="2">
        <v>5</v>
      </c>
      <c r="D34" s="2">
        <v>30</v>
      </c>
      <c r="E34" s="2" t="s">
        <v>16</v>
      </c>
      <c r="F34" s="2" t="s">
        <v>152</v>
      </c>
      <c r="G34" s="10">
        <v>2</v>
      </c>
      <c r="H34" s="8" t="s">
        <v>563</v>
      </c>
      <c r="I34" s="8" t="s">
        <v>99</v>
      </c>
      <c r="J34" s="8">
        <v>0</v>
      </c>
      <c r="K34" s="16">
        <v>5200</v>
      </c>
      <c r="L34" s="8">
        <v>17</v>
      </c>
      <c r="M34" s="8" t="s">
        <v>125</v>
      </c>
      <c r="N34" s="8">
        <v>8</v>
      </c>
      <c r="O34" s="8" t="s">
        <v>120</v>
      </c>
      <c r="P34" s="8" t="s">
        <v>104</v>
      </c>
      <c r="Q34" s="2" t="s">
        <v>153</v>
      </c>
      <c r="R34" s="2" t="s">
        <v>311</v>
      </c>
    </row>
    <row r="35" spans="1:36" ht="16.5" customHeight="1" x14ac:dyDescent="0.25">
      <c r="A35" s="2" t="s">
        <v>17</v>
      </c>
      <c r="B35" s="3">
        <v>17000</v>
      </c>
      <c r="C35" s="2">
        <v>1</v>
      </c>
      <c r="D35" s="2">
        <v>4</v>
      </c>
      <c r="E35" s="2">
        <v>13</v>
      </c>
      <c r="F35" s="2" t="s">
        <v>154</v>
      </c>
      <c r="G35" s="10">
        <v>3</v>
      </c>
      <c r="H35" s="8" t="s">
        <v>563</v>
      </c>
      <c r="I35" s="8" t="s">
        <v>155</v>
      </c>
      <c r="J35" s="8">
        <v>0</v>
      </c>
      <c r="K35" s="16">
        <v>5200</v>
      </c>
      <c r="L35" s="8">
        <v>14</v>
      </c>
      <c r="M35" s="8">
        <v>20</v>
      </c>
      <c r="N35" s="8">
        <v>8</v>
      </c>
      <c r="O35" s="8" t="s">
        <v>120</v>
      </c>
      <c r="P35" s="8" t="s">
        <v>102</v>
      </c>
      <c r="Q35" s="2" t="s">
        <v>121</v>
      </c>
      <c r="R35" s="2" t="s">
        <v>351</v>
      </c>
      <c r="S35" s="2">
        <v>2</v>
      </c>
      <c r="T35" s="2">
        <v>0</v>
      </c>
      <c r="U35" s="2">
        <v>0</v>
      </c>
      <c r="V35" s="3">
        <v>325000</v>
      </c>
      <c r="W35" s="2">
        <v>10</v>
      </c>
      <c r="X35" s="2">
        <v>0</v>
      </c>
      <c r="Y35" s="2">
        <v>0</v>
      </c>
      <c r="Z35" s="2">
        <v>0</v>
      </c>
      <c r="AA35" s="2">
        <v>5</v>
      </c>
      <c r="AB35" s="2">
        <v>22</v>
      </c>
      <c r="AC35" s="2">
        <v>0</v>
      </c>
      <c r="AD35" s="2" t="s">
        <v>352</v>
      </c>
    </row>
    <row r="36" spans="1:36" ht="16.5" customHeight="1" x14ac:dyDescent="0.25">
      <c r="A36" s="2" t="s">
        <v>18</v>
      </c>
      <c r="B36" s="3">
        <v>3400</v>
      </c>
      <c r="C36" s="2">
        <v>1</v>
      </c>
      <c r="D36" s="2">
        <v>4</v>
      </c>
      <c r="E36" s="2">
        <v>8</v>
      </c>
      <c r="F36" s="2" t="s">
        <v>156</v>
      </c>
      <c r="G36" s="10">
        <v>3</v>
      </c>
      <c r="H36" s="8" t="s">
        <v>563</v>
      </c>
      <c r="I36" s="8" t="s">
        <v>155</v>
      </c>
      <c r="J36" s="8">
        <v>5</v>
      </c>
      <c r="K36" s="16">
        <v>9000</v>
      </c>
      <c r="L36" s="8">
        <v>15</v>
      </c>
      <c r="M36" s="8">
        <v>16</v>
      </c>
      <c r="N36" s="8">
        <v>12</v>
      </c>
      <c r="O36" s="8" t="s">
        <v>123</v>
      </c>
      <c r="P36" s="8" t="s">
        <v>102</v>
      </c>
      <c r="Q36" s="2" t="s">
        <v>122</v>
      </c>
      <c r="R36" s="2" t="s">
        <v>353</v>
      </c>
      <c r="S36" s="2">
        <v>2</v>
      </c>
      <c r="T36" s="2">
        <v>-2</v>
      </c>
      <c r="U36" s="2">
        <v>0</v>
      </c>
      <c r="V36" s="3">
        <v>9000</v>
      </c>
      <c r="W36" s="2">
        <v>10</v>
      </c>
      <c r="X36" s="2">
        <v>2</v>
      </c>
      <c r="Y36" s="2">
        <v>0</v>
      </c>
      <c r="Z36" s="2">
        <v>0</v>
      </c>
      <c r="AA36" s="2">
        <v>3</v>
      </c>
      <c r="AB36" s="2">
        <v>11</v>
      </c>
      <c r="AC36" s="2">
        <v>0</v>
      </c>
      <c r="AD36" s="2" t="s">
        <v>297</v>
      </c>
      <c r="AF36" t="s">
        <v>438</v>
      </c>
    </row>
    <row r="37" spans="1:36" ht="16.5" customHeight="1" x14ac:dyDescent="0.25">
      <c r="A37" s="5" t="s">
        <v>76</v>
      </c>
      <c r="B37" s="5">
        <v>1</v>
      </c>
      <c r="C37" s="5"/>
      <c r="D37" s="5"/>
      <c r="E37" s="5">
        <v>1</v>
      </c>
      <c r="F37" s="2" t="s">
        <v>157</v>
      </c>
      <c r="G37" s="10">
        <v>3</v>
      </c>
      <c r="H37" s="8" t="s">
        <v>563</v>
      </c>
      <c r="I37" s="8" t="s">
        <v>155</v>
      </c>
      <c r="J37" s="8">
        <v>5</v>
      </c>
      <c r="K37" s="16">
        <v>9000</v>
      </c>
      <c r="L37" s="8">
        <v>20</v>
      </c>
      <c r="M37" s="8">
        <v>50</v>
      </c>
      <c r="N37" s="8">
        <v>12</v>
      </c>
      <c r="O37" s="8" t="s">
        <v>123</v>
      </c>
      <c r="P37" s="8" t="s">
        <v>102</v>
      </c>
      <c r="Q37" s="2" t="s">
        <v>158</v>
      </c>
      <c r="R37" s="2" t="s">
        <v>354</v>
      </c>
      <c r="S37" s="2">
        <v>3</v>
      </c>
      <c r="T37" s="2">
        <v>0</v>
      </c>
      <c r="U37" s="2">
        <v>0</v>
      </c>
      <c r="V37" s="3">
        <v>225000</v>
      </c>
      <c r="W37" s="2">
        <v>10</v>
      </c>
      <c r="X37" s="2">
        <v>0</v>
      </c>
      <c r="Y37" s="2">
        <v>20</v>
      </c>
      <c r="Z37" s="2">
        <v>20</v>
      </c>
      <c r="AA37" s="2">
        <v>5</v>
      </c>
      <c r="AB37" s="2">
        <v>21</v>
      </c>
      <c r="AC37" s="2">
        <v>0</v>
      </c>
      <c r="AD37" s="2" t="s">
        <v>297</v>
      </c>
    </row>
    <row r="38" spans="1:36" ht="16.5" customHeight="1" x14ac:dyDescent="0.25">
      <c r="A38" s="2" t="s">
        <v>19</v>
      </c>
      <c r="B38" s="3">
        <v>3400</v>
      </c>
      <c r="C38" s="2">
        <v>2</v>
      </c>
      <c r="D38" s="2">
        <v>4</v>
      </c>
      <c r="E38" s="2">
        <v>8</v>
      </c>
      <c r="F38" s="2" t="s">
        <v>159</v>
      </c>
      <c r="G38" s="10">
        <v>3</v>
      </c>
      <c r="H38" s="8" t="s">
        <v>563</v>
      </c>
      <c r="I38" s="8" t="s">
        <v>155</v>
      </c>
      <c r="J38" s="8">
        <v>10</v>
      </c>
      <c r="K38" s="16">
        <v>10000</v>
      </c>
      <c r="L38" s="8">
        <v>15</v>
      </c>
      <c r="M38" s="8">
        <v>16</v>
      </c>
      <c r="N38" s="8">
        <v>16</v>
      </c>
      <c r="O38" s="8" t="s">
        <v>20</v>
      </c>
      <c r="P38" s="8" t="s">
        <v>102</v>
      </c>
      <c r="Q38" s="2" t="s">
        <v>177</v>
      </c>
      <c r="R38" s="2" t="s">
        <v>435</v>
      </c>
      <c r="S38" s="2">
        <v>3</v>
      </c>
      <c r="T38" s="2">
        <v>-4</v>
      </c>
      <c r="U38" s="2">
        <v>-2</v>
      </c>
      <c r="V38" s="2">
        <v>75</v>
      </c>
      <c r="W38" s="2">
        <v>10</v>
      </c>
      <c r="X38" s="2">
        <v>2</v>
      </c>
      <c r="Y38" s="2">
        <v>0</v>
      </c>
      <c r="Z38" s="2">
        <v>0</v>
      </c>
      <c r="AA38" s="2">
        <v>1</v>
      </c>
      <c r="AB38" s="2">
        <v>1</v>
      </c>
      <c r="AC38" s="2">
        <v>0</v>
      </c>
      <c r="AD38" s="2"/>
    </row>
    <row r="39" spans="1:36" ht="16.5" customHeight="1" x14ac:dyDescent="0.25">
      <c r="A39" s="5" t="s">
        <v>78</v>
      </c>
      <c r="B39" s="5">
        <v>350</v>
      </c>
      <c r="C39" s="5">
        <v>4</v>
      </c>
      <c r="D39" s="5">
        <v>1</v>
      </c>
      <c r="E39" s="5">
        <v>1</v>
      </c>
      <c r="F39" s="2" t="s">
        <v>160</v>
      </c>
      <c r="G39" s="10">
        <v>3</v>
      </c>
      <c r="H39" s="8" t="s">
        <v>563</v>
      </c>
      <c r="I39" s="8" t="s">
        <v>155</v>
      </c>
      <c r="J39" s="8">
        <v>10</v>
      </c>
      <c r="K39" s="16">
        <v>10000</v>
      </c>
      <c r="L39" s="8">
        <v>15</v>
      </c>
      <c r="M39" s="8" t="s">
        <v>125</v>
      </c>
      <c r="N39" s="8">
        <v>14</v>
      </c>
      <c r="O39" s="8" t="s">
        <v>20</v>
      </c>
      <c r="P39" s="8" t="s">
        <v>102</v>
      </c>
      <c r="Q39" s="2" t="s">
        <v>126</v>
      </c>
      <c r="R39" s="2" t="s">
        <v>355</v>
      </c>
      <c r="S39" s="2">
        <v>4</v>
      </c>
      <c r="T39" s="2">
        <v>0</v>
      </c>
      <c r="U39" s="2">
        <v>0</v>
      </c>
      <c r="V39" s="3">
        <v>65000</v>
      </c>
      <c r="W39" s="2">
        <v>15</v>
      </c>
      <c r="X39" s="2">
        <v>0</v>
      </c>
      <c r="Y39" s="2">
        <v>0</v>
      </c>
      <c r="Z39" s="2">
        <v>0</v>
      </c>
      <c r="AA39" s="2">
        <v>4</v>
      </c>
      <c r="AB39" s="2">
        <v>17</v>
      </c>
      <c r="AC39" s="2">
        <v>0</v>
      </c>
      <c r="AD39" s="2" t="s">
        <v>297</v>
      </c>
      <c r="AF39" t="s">
        <v>438</v>
      </c>
    </row>
    <row r="40" spans="1:36" ht="16.5" customHeight="1" x14ac:dyDescent="0.25">
      <c r="A40" s="5" t="s">
        <v>79</v>
      </c>
      <c r="B40" s="5">
        <v>100</v>
      </c>
      <c r="C40" s="5"/>
      <c r="D40" s="5"/>
      <c r="E40" s="5">
        <v>1</v>
      </c>
      <c r="F40" s="2" t="s">
        <v>161</v>
      </c>
      <c r="G40" s="11" t="s">
        <v>278</v>
      </c>
      <c r="H40" s="8" t="s">
        <v>563</v>
      </c>
      <c r="I40" s="8" t="s">
        <v>162</v>
      </c>
      <c r="J40" s="8">
        <v>10</v>
      </c>
      <c r="K40" s="16">
        <v>15000</v>
      </c>
      <c r="L40" s="8">
        <v>18</v>
      </c>
      <c r="M40" s="8">
        <v>10</v>
      </c>
      <c r="N40" s="8">
        <v>20</v>
      </c>
      <c r="O40" s="8" t="s">
        <v>20</v>
      </c>
      <c r="P40" s="8" t="s">
        <v>102</v>
      </c>
      <c r="Q40" s="2" t="s">
        <v>183</v>
      </c>
      <c r="R40" s="2" t="s">
        <v>356</v>
      </c>
      <c r="S40" s="2">
        <v>4</v>
      </c>
      <c r="T40" s="2">
        <v>0</v>
      </c>
      <c r="U40" s="2">
        <v>0</v>
      </c>
      <c r="V40" s="3">
        <v>45000</v>
      </c>
      <c r="W40" s="2">
        <v>15</v>
      </c>
      <c r="X40" s="2">
        <v>0</v>
      </c>
      <c r="Y40" s="2">
        <v>0</v>
      </c>
      <c r="Z40" s="2">
        <v>0</v>
      </c>
      <c r="AA40" s="2">
        <v>4</v>
      </c>
      <c r="AB40" s="2">
        <v>16</v>
      </c>
      <c r="AC40" s="2">
        <v>0</v>
      </c>
      <c r="AD40" s="2" t="s">
        <v>297</v>
      </c>
      <c r="AF40" t="s">
        <v>438</v>
      </c>
    </row>
    <row r="41" spans="1:36" ht="16.5" customHeight="1" x14ac:dyDescent="0.25">
      <c r="A41" s="5" t="s">
        <v>77</v>
      </c>
      <c r="B41" s="5">
        <v>1</v>
      </c>
      <c r="C41" s="5"/>
      <c r="D41" s="5"/>
      <c r="E41" s="5">
        <v>1</v>
      </c>
      <c r="F41" s="2" t="s">
        <v>163</v>
      </c>
      <c r="G41" s="10">
        <v>3</v>
      </c>
      <c r="H41" s="8" t="s">
        <v>563</v>
      </c>
      <c r="I41" s="8" t="s">
        <v>111</v>
      </c>
      <c r="J41" s="8">
        <v>5</v>
      </c>
      <c r="K41" s="16">
        <v>30000</v>
      </c>
      <c r="L41" s="8">
        <v>15</v>
      </c>
      <c r="M41" s="8" t="s">
        <v>125</v>
      </c>
      <c r="N41" s="8">
        <v>20</v>
      </c>
      <c r="O41" s="8" t="s">
        <v>20</v>
      </c>
      <c r="P41" s="8" t="s">
        <v>104</v>
      </c>
      <c r="Q41" s="2" t="s">
        <v>129</v>
      </c>
      <c r="R41" s="2" t="s">
        <v>357</v>
      </c>
      <c r="S41" s="2">
        <v>2</v>
      </c>
      <c r="T41" s="2">
        <v>-3</v>
      </c>
      <c r="U41" s="2">
        <v>-2</v>
      </c>
      <c r="V41" s="2">
        <v>150</v>
      </c>
      <c r="W41" s="2">
        <v>25</v>
      </c>
      <c r="X41" s="2">
        <v>2</v>
      </c>
      <c r="Y41" s="2">
        <v>0</v>
      </c>
      <c r="Z41" s="2">
        <v>0</v>
      </c>
      <c r="AA41" s="2">
        <v>1</v>
      </c>
      <c r="AB41" s="2">
        <v>1</v>
      </c>
      <c r="AC41" s="2">
        <v>0</v>
      </c>
      <c r="AD41" s="2"/>
    </row>
    <row r="42" spans="1:36" ht="16.5" customHeight="1" x14ac:dyDescent="0.25">
      <c r="A42" s="124" t="s">
        <v>80</v>
      </c>
      <c r="B42" s="124">
        <v>5</v>
      </c>
      <c r="C42" s="124"/>
      <c r="D42" s="124"/>
      <c r="E42" s="124">
        <v>1</v>
      </c>
      <c r="F42" s="2" t="s">
        <v>164</v>
      </c>
      <c r="G42" s="10">
        <v>3</v>
      </c>
      <c r="H42" s="8" t="s">
        <v>563</v>
      </c>
      <c r="I42" s="8" t="s">
        <v>155</v>
      </c>
      <c r="J42" s="8">
        <v>10</v>
      </c>
      <c r="K42" s="16">
        <v>30000</v>
      </c>
      <c r="L42" s="8">
        <v>15</v>
      </c>
      <c r="M42" s="8">
        <v>60</v>
      </c>
      <c r="N42" s="8">
        <v>20</v>
      </c>
      <c r="O42" s="8" t="s">
        <v>20</v>
      </c>
      <c r="P42" s="8" t="s">
        <v>102</v>
      </c>
      <c r="Q42" s="2" t="s">
        <v>165</v>
      </c>
    </row>
    <row r="43" spans="1:36" ht="16.5" customHeight="1" x14ac:dyDescent="0.25">
      <c r="A43" s="124" t="s">
        <v>81</v>
      </c>
      <c r="B43" s="124">
        <v>5</v>
      </c>
      <c r="C43" s="124">
        <v>1</v>
      </c>
      <c r="D43" s="124"/>
      <c r="E43" s="124">
        <v>1</v>
      </c>
      <c r="F43" s="2" t="s">
        <v>279</v>
      </c>
      <c r="G43" s="10">
        <v>3</v>
      </c>
      <c r="H43" s="8" t="s">
        <v>563</v>
      </c>
      <c r="I43" s="8" t="s">
        <v>111</v>
      </c>
      <c r="J43" s="8">
        <v>5</v>
      </c>
      <c r="K43" s="16">
        <v>45000</v>
      </c>
      <c r="L43" s="8">
        <v>20</v>
      </c>
      <c r="M43" s="8" t="s">
        <v>166</v>
      </c>
      <c r="N43" s="8">
        <v>20</v>
      </c>
      <c r="O43" s="8" t="s">
        <v>20</v>
      </c>
      <c r="P43" s="8" t="s">
        <v>104</v>
      </c>
      <c r="Q43" s="2" t="s">
        <v>280</v>
      </c>
      <c r="R43" s="7"/>
    </row>
    <row r="44" spans="1:36" ht="16.5" customHeight="1" x14ac:dyDescent="0.25">
      <c r="A44" s="124" t="s">
        <v>82</v>
      </c>
      <c r="B44" s="124">
        <v>5</v>
      </c>
      <c r="C44" s="124">
        <v>1</v>
      </c>
      <c r="D44" s="124"/>
      <c r="E44" s="124">
        <v>1</v>
      </c>
      <c r="F44" s="2" t="s">
        <v>167</v>
      </c>
      <c r="G44" s="10">
        <v>3</v>
      </c>
      <c r="H44" s="8" t="s">
        <v>563</v>
      </c>
      <c r="I44" s="8" t="s">
        <v>155</v>
      </c>
      <c r="J44" s="8">
        <v>10</v>
      </c>
      <c r="K44" s="16">
        <v>50000</v>
      </c>
      <c r="L44" s="8">
        <v>17</v>
      </c>
      <c r="M44" s="8" t="s">
        <v>128</v>
      </c>
      <c r="N44" s="8">
        <v>20</v>
      </c>
      <c r="O44" s="8" t="s">
        <v>136</v>
      </c>
      <c r="P44" s="8" t="s">
        <v>132</v>
      </c>
      <c r="Q44" s="2" t="s">
        <v>184</v>
      </c>
    </row>
    <row r="45" spans="1:36" ht="16.5" customHeight="1" x14ac:dyDescent="0.25">
      <c r="A45" s="124" t="s">
        <v>83</v>
      </c>
      <c r="B45" s="124">
        <v>1</v>
      </c>
      <c r="C45" s="124"/>
      <c r="D45" s="124"/>
      <c r="E45" s="124">
        <v>1</v>
      </c>
      <c r="F45" s="2" t="s">
        <v>168</v>
      </c>
      <c r="G45" s="10">
        <v>3</v>
      </c>
      <c r="H45" s="8" t="s">
        <v>563</v>
      </c>
      <c r="I45" s="8" t="s">
        <v>155</v>
      </c>
      <c r="J45" s="8">
        <v>10</v>
      </c>
      <c r="K45" s="16">
        <v>60000</v>
      </c>
      <c r="L45" s="8">
        <v>17</v>
      </c>
      <c r="M45" s="8" t="s">
        <v>169</v>
      </c>
      <c r="N45" s="8">
        <v>25</v>
      </c>
      <c r="O45" s="8" t="s">
        <v>136</v>
      </c>
      <c r="P45" s="8" t="s">
        <v>132</v>
      </c>
      <c r="Q45" s="2" t="s">
        <v>174</v>
      </c>
    </row>
    <row r="46" spans="1:36" ht="16.5" customHeight="1" x14ac:dyDescent="0.25">
      <c r="A46" s="124" t="s">
        <v>84</v>
      </c>
      <c r="B46" s="124">
        <v>500</v>
      </c>
      <c r="C46" s="124">
        <v>22</v>
      </c>
      <c r="D46" s="124">
        <v>4</v>
      </c>
      <c r="E46" s="124">
        <v>3</v>
      </c>
      <c r="F46" s="2" t="s">
        <v>170</v>
      </c>
      <c r="G46" s="10">
        <v>3</v>
      </c>
      <c r="H46" s="8" t="s">
        <v>563</v>
      </c>
      <c r="I46" s="8" t="s">
        <v>155</v>
      </c>
      <c r="J46" s="8">
        <v>10</v>
      </c>
      <c r="K46" s="16">
        <v>60000</v>
      </c>
      <c r="L46" s="8">
        <v>17</v>
      </c>
      <c r="M46" s="8" t="s">
        <v>171</v>
      </c>
      <c r="N46" s="8">
        <v>20</v>
      </c>
      <c r="O46" s="8" t="s">
        <v>136</v>
      </c>
      <c r="P46" s="8" t="s">
        <v>132</v>
      </c>
      <c r="Q46" s="2" t="s">
        <v>175</v>
      </c>
    </row>
    <row r="47" spans="1:36" ht="16.5" customHeight="1" x14ac:dyDescent="0.25">
      <c r="A47" s="124" t="s">
        <v>674</v>
      </c>
      <c r="B47" s="124">
        <v>15</v>
      </c>
      <c r="C47" s="124">
        <v>30</v>
      </c>
      <c r="D47" s="124">
        <v>1</v>
      </c>
      <c r="E47" s="124">
        <v>1</v>
      </c>
      <c r="F47" s="114" t="s">
        <v>665</v>
      </c>
      <c r="R47">
        <f>IF(ISNUMBER(FIND("niper",Equipment!$Q$53)),1,0)</f>
        <v>1</v>
      </c>
    </row>
    <row r="48" spans="1:36" ht="16.5" customHeight="1" x14ac:dyDescent="0.25">
      <c r="A48" s="5" t="s">
        <v>73</v>
      </c>
      <c r="B48" s="5">
        <v>50</v>
      </c>
      <c r="C48" s="5"/>
      <c r="D48" s="5"/>
      <c r="E48" s="5">
        <v>1</v>
      </c>
      <c r="F48" s="2" t="s">
        <v>191</v>
      </c>
      <c r="G48" s="8">
        <v>1</v>
      </c>
      <c r="H48" s="8" t="s">
        <v>564</v>
      </c>
      <c r="I48" s="8" t="s">
        <v>111</v>
      </c>
      <c r="J48" s="8">
        <v>0</v>
      </c>
      <c r="K48" s="8">
        <v>520</v>
      </c>
      <c r="L48" s="8">
        <v>45</v>
      </c>
      <c r="M48" s="8">
        <v>120</v>
      </c>
      <c r="N48" s="8">
        <v>8</v>
      </c>
      <c r="O48" s="8">
        <v>1</v>
      </c>
      <c r="P48" s="8" t="s">
        <v>104</v>
      </c>
      <c r="Q48" s="2" t="s">
        <v>192</v>
      </c>
    </row>
    <row r="49" spans="1:17" ht="16.5" customHeight="1" x14ac:dyDescent="0.25">
      <c r="A49" s="5" t="s">
        <v>85</v>
      </c>
      <c r="B49" s="5">
        <v>200</v>
      </c>
      <c r="C49" s="5">
        <v>0.5</v>
      </c>
      <c r="D49" s="5">
        <v>2</v>
      </c>
      <c r="E49" s="5" t="s">
        <v>86</v>
      </c>
      <c r="F49" s="2" t="s">
        <v>193</v>
      </c>
      <c r="G49" s="8">
        <v>1</v>
      </c>
      <c r="H49" s="8" t="s">
        <v>563</v>
      </c>
      <c r="I49" s="8" t="s">
        <v>111</v>
      </c>
      <c r="J49" s="8">
        <v>0</v>
      </c>
      <c r="K49" s="8">
        <v>520</v>
      </c>
      <c r="L49" s="8">
        <v>35</v>
      </c>
      <c r="M49" s="8">
        <v>240</v>
      </c>
      <c r="N49" s="8">
        <v>8</v>
      </c>
      <c r="O49" s="8">
        <v>1</v>
      </c>
      <c r="P49" s="8" t="s">
        <v>104</v>
      </c>
      <c r="Q49" s="2" t="s">
        <v>192</v>
      </c>
    </row>
    <row r="50" spans="1:17" ht="16.5" customHeight="1" x14ac:dyDescent="0.25">
      <c r="A50" s="5" t="s">
        <v>87</v>
      </c>
      <c r="B50" s="5">
        <v>10</v>
      </c>
      <c r="C50" s="5">
        <v>5</v>
      </c>
      <c r="D50" s="5">
        <v>1</v>
      </c>
      <c r="E50" s="5">
        <v>1</v>
      </c>
      <c r="F50" s="2" t="s">
        <v>194</v>
      </c>
      <c r="G50" s="8">
        <v>1</v>
      </c>
      <c r="H50" s="8" t="s">
        <v>563</v>
      </c>
      <c r="I50" s="8" t="s">
        <v>111</v>
      </c>
      <c r="J50" s="8">
        <v>5</v>
      </c>
      <c r="K50" s="8">
        <v>520</v>
      </c>
      <c r="L50" s="8">
        <v>55</v>
      </c>
      <c r="M50" s="8">
        <v>120</v>
      </c>
      <c r="N50" s="8">
        <v>12</v>
      </c>
      <c r="O50" s="8">
        <v>1</v>
      </c>
      <c r="P50" s="8" t="s">
        <v>104</v>
      </c>
      <c r="Q50" s="2" t="s">
        <v>192</v>
      </c>
    </row>
    <row r="51" spans="1:17" ht="16.5" customHeight="1" x14ac:dyDescent="0.25">
      <c r="A51" s="6" t="s">
        <v>88</v>
      </c>
      <c r="B51" s="6"/>
      <c r="C51" s="6">
        <v>1</v>
      </c>
      <c r="D51" s="6"/>
      <c r="E51" s="6"/>
      <c r="F51" s="2" t="s">
        <v>195</v>
      </c>
      <c r="G51" s="8">
        <v>1</v>
      </c>
      <c r="H51" s="8" t="s">
        <v>564</v>
      </c>
      <c r="I51" s="8" t="s">
        <v>196</v>
      </c>
      <c r="J51" s="8">
        <v>0</v>
      </c>
      <c r="K51" s="8">
        <v>680</v>
      </c>
      <c r="L51" s="8">
        <v>55</v>
      </c>
      <c r="M51" s="8">
        <v>300</v>
      </c>
      <c r="N51" s="8">
        <v>12</v>
      </c>
      <c r="O51" s="8">
        <v>1</v>
      </c>
      <c r="P51" s="8" t="s">
        <v>104</v>
      </c>
      <c r="Q51" s="2" t="s">
        <v>192</v>
      </c>
    </row>
    <row r="52" spans="1:17" ht="16.5" customHeight="1" x14ac:dyDescent="0.25">
      <c r="A52" s="5" t="s">
        <v>89</v>
      </c>
      <c r="B52" s="5">
        <v>1</v>
      </c>
      <c r="C52" s="5"/>
      <c r="D52" s="5"/>
      <c r="E52" s="5">
        <v>1</v>
      </c>
      <c r="F52" s="2" t="s">
        <v>197</v>
      </c>
      <c r="G52" s="8">
        <v>1</v>
      </c>
      <c r="H52" s="8" t="s">
        <v>563</v>
      </c>
      <c r="I52" s="8" t="s">
        <v>198</v>
      </c>
      <c r="J52" s="8">
        <v>0</v>
      </c>
      <c r="K52" s="8">
        <v>680</v>
      </c>
      <c r="L52" s="8">
        <v>70</v>
      </c>
      <c r="M52" s="8">
        <v>400</v>
      </c>
      <c r="N52" s="8">
        <v>16</v>
      </c>
      <c r="O52" s="8">
        <v>1</v>
      </c>
      <c r="P52" s="8" t="s">
        <v>104</v>
      </c>
      <c r="Q52" s="2" t="s">
        <v>192</v>
      </c>
    </row>
    <row r="53" spans="1:17" ht="16.5" customHeight="1" x14ac:dyDescent="0.25">
      <c r="A53" s="5" t="s">
        <v>90</v>
      </c>
      <c r="B53" s="5">
        <v>20</v>
      </c>
      <c r="C53" s="5">
        <v>1</v>
      </c>
      <c r="D53" s="5">
        <v>1</v>
      </c>
      <c r="E53" s="5">
        <v>1</v>
      </c>
      <c r="F53" s="2" t="s">
        <v>199</v>
      </c>
      <c r="G53" s="17" t="s">
        <v>278</v>
      </c>
      <c r="H53" s="8" t="s">
        <v>566</v>
      </c>
      <c r="I53" s="8" t="s">
        <v>200</v>
      </c>
      <c r="J53" s="8">
        <v>10</v>
      </c>
      <c r="K53" s="8">
        <v>680</v>
      </c>
      <c r="L53" s="8">
        <v>40</v>
      </c>
      <c r="M53" s="8">
        <v>10</v>
      </c>
      <c r="N53" s="8">
        <v>16</v>
      </c>
      <c r="O53" s="8">
        <v>1</v>
      </c>
      <c r="P53" s="8" t="s">
        <v>104</v>
      </c>
      <c r="Q53" s="2" t="s">
        <v>201</v>
      </c>
    </row>
    <row r="54" spans="1:17" ht="16.5" customHeight="1" x14ac:dyDescent="0.25">
      <c r="A54" s="5" t="s">
        <v>91</v>
      </c>
      <c r="B54" s="5">
        <v>10</v>
      </c>
      <c r="C54" s="5"/>
      <c r="D54" s="5"/>
      <c r="E54" s="5">
        <v>1</v>
      </c>
      <c r="F54" s="2" t="s">
        <v>202</v>
      </c>
      <c r="G54" s="8">
        <v>2</v>
      </c>
      <c r="H54" s="8" t="s">
        <v>566</v>
      </c>
      <c r="I54" s="8" t="s">
        <v>200</v>
      </c>
      <c r="J54" s="8">
        <v>10</v>
      </c>
      <c r="K54" s="16">
        <v>13000</v>
      </c>
      <c r="L54" s="8">
        <v>50</v>
      </c>
      <c r="M54" s="8">
        <v>40</v>
      </c>
      <c r="N54" s="8">
        <v>20</v>
      </c>
      <c r="O54" s="8" t="s">
        <v>123</v>
      </c>
      <c r="P54" s="8" t="s">
        <v>102</v>
      </c>
      <c r="Q54" s="2" t="s">
        <v>122</v>
      </c>
    </row>
    <row r="55" spans="1:17" ht="16.5" customHeight="1" x14ac:dyDescent="0.25">
      <c r="A55" s="5" t="s">
        <v>92</v>
      </c>
      <c r="B55" s="5">
        <v>1</v>
      </c>
      <c r="C55" s="5"/>
      <c r="D55" s="5"/>
      <c r="E55" s="5">
        <v>1</v>
      </c>
      <c r="F55" s="2" t="s">
        <v>203</v>
      </c>
      <c r="G55" s="8">
        <v>2</v>
      </c>
      <c r="H55" s="8" t="s">
        <v>566</v>
      </c>
      <c r="I55" s="8" t="s">
        <v>99</v>
      </c>
      <c r="J55" s="8">
        <v>0</v>
      </c>
      <c r="K55" s="16">
        <v>13000</v>
      </c>
      <c r="L55" s="8">
        <v>60</v>
      </c>
      <c r="M55" s="8" t="s">
        <v>204</v>
      </c>
      <c r="N55" s="8">
        <v>16</v>
      </c>
      <c r="O55" s="8" t="s">
        <v>120</v>
      </c>
      <c r="P55" s="8" t="s">
        <v>104</v>
      </c>
      <c r="Q55" s="2" t="s">
        <v>153</v>
      </c>
    </row>
    <row r="56" spans="1:17" ht="16.5" customHeight="1" x14ac:dyDescent="0.25">
      <c r="A56" s="121" t="s">
        <v>675</v>
      </c>
      <c r="B56" s="2" t="s">
        <v>24</v>
      </c>
      <c r="C56" s="2"/>
      <c r="D56" s="2"/>
      <c r="E56" s="2"/>
      <c r="F56" s="2" t="s">
        <v>205</v>
      </c>
      <c r="G56" s="8">
        <v>2</v>
      </c>
      <c r="H56" s="8" t="s">
        <v>566</v>
      </c>
      <c r="I56" s="8" t="s">
        <v>162</v>
      </c>
      <c r="J56" s="8">
        <v>10</v>
      </c>
      <c r="K56" s="16">
        <v>21000</v>
      </c>
      <c r="L56" s="8">
        <v>65</v>
      </c>
      <c r="M56" s="8" t="s">
        <v>206</v>
      </c>
      <c r="N56" s="8">
        <v>24</v>
      </c>
      <c r="O56" s="8" t="s">
        <v>20</v>
      </c>
      <c r="P56" s="8" t="s">
        <v>102</v>
      </c>
      <c r="Q56" s="2" t="s">
        <v>126</v>
      </c>
    </row>
    <row r="57" spans="1:17" ht="16.5" customHeight="1" x14ac:dyDescent="0.25">
      <c r="A57" s="2" t="s">
        <v>25</v>
      </c>
      <c r="B57" s="2">
        <v>100</v>
      </c>
      <c r="C57" s="2"/>
      <c r="D57" s="2"/>
      <c r="E57" s="2">
        <v>1</v>
      </c>
      <c r="F57" s="2" t="s">
        <v>207</v>
      </c>
      <c r="G57" s="8">
        <v>2</v>
      </c>
      <c r="H57" s="8" t="s">
        <v>566</v>
      </c>
      <c r="I57" s="8" t="s">
        <v>162</v>
      </c>
      <c r="J57" s="8">
        <v>15</v>
      </c>
      <c r="K57" s="16">
        <v>45000</v>
      </c>
      <c r="L57" s="8">
        <v>30</v>
      </c>
      <c r="M57" s="8" t="s">
        <v>206</v>
      </c>
      <c r="N57" s="8">
        <v>24</v>
      </c>
      <c r="O57" s="8" t="s">
        <v>20</v>
      </c>
      <c r="P57" s="8" t="s">
        <v>104</v>
      </c>
      <c r="Q57" s="2" t="s">
        <v>208</v>
      </c>
    </row>
    <row r="58" spans="1:17" ht="16.5" customHeight="1" x14ac:dyDescent="0.25">
      <c r="A58" s="2" t="s">
        <v>26</v>
      </c>
      <c r="B58" s="2">
        <v>840</v>
      </c>
      <c r="C58" s="2"/>
      <c r="D58" s="2"/>
      <c r="E58" s="2">
        <v>6</v>
      </c>
      <c r="F58" s="2" t="s">
        <v>209</v>
      </c>
      <c r="G58" s="8">
        <v>2</v>
      </c>
      <c r="H58" s="8" t="s">
        <v>566</v>
      </c>
      <c r="I58" s="8" t="s">
        <v>198</v>
      </c>
      <c r="J58" s="8">
        <v>15</v>
      </c>
      <c r="K58" s="16">
        <v>50000</v>
      </c>
      <c r="L58" s="8">
        <v>20</v>
      </c>
      <c r="M58" s="8" t="s">
        <v>210</v>
      </c>
      <c r="N58" s="8">
        <v>24</v>
      </c>
      <c r="O58" s="8" t="s">
        <v>20</v>
      </c>
      <c r="P58" s="8" t="s">
        <v>104</v>
      </c>
      <c r="Q58" s="2" t="s">
        <v>221</v>
      </c>
    </row>
    <row r="59" spans="1:17" ht="16.5" customHeight="1" x14ac:dyDescent="0.25">
      <c r="A59" s="2" t="s">
        <v>27</v>
      </c>
      <c r="B59" s="3">
        <v>9000</v>
      </c>
      <c r="C59" s="2"/>
      <c r="D59" s="2"/>
      <c r="E59" s="2" t="s">
        <v>28</v>
      </c>
      <c r="F59" s="2" t="s">
        <v>211</v>
      </c>
      <c r="G59" s="8">
        <v>1</v>
      </c>
      <c r="H59" s="8" t="s">
        <v>566</v>
      </c>
      <c r="I59" s="8" t="s">
        <v>200</v>
      </c>
      <c r="J59" s="8">
        <v>20</v>
      </c>
      <c r="K59" s="16">
        <v>50000</v>
      </c>
      <c r="L59" s="8">
        <v>85</v>
      </c>
      <c r="M59" s="8">
        <v>120</v>
      </c>
      <c r="N59" s="8">
        <v>24</v>
      </c>
      <c r="O59" s="8" t="s">
        <v>20</v>
      </c>
      <c r="P59" s="8" t="s">
        <v>102</v>
      </c>
      <c r="Q59" s="2" t="s">
        <v>212</v>
      </c>
    </row>
    <row r="60" spans="1:17" ht="16.5" customHeight="1" x14ac:dyDescent="0.25">
      <c r="A60" s="2" t="s">
        <v>29</v>
      </c>
      <c r="B60" s="3">
        <v>45000</v>
      </c>
      <c r="C60" s="2"/>
      <c r="D60" s="2"/>
      <c r="E60" s="2" t="s">
        <v>30</v>
      </c>
      <c r="F60" s="2" t="s">
        <v>213</v>
      </c>
      <c r="G60" s="8">
        <v>1</v>
      </c>
      <c r="H60" s="8" t="s">
        <v>566</v>
      </c>
      <c r="I60" s="8" t="s">
        <v>162</v>
      </c>
      <c r="J60" s="8">
        <v>20</v>
      </c>
      <c r="K60" s="16">
        <v>50000</v>
      </c>
      <c r="L60" s="8">
        <v>85</v>
      </c>
      <c r="M60" s="8" t="s">
        <v>214</v>
      </c>
      <c r="N60" s="8">
        <v>28</v>
      </c>
      <c r="O60" s="8" t="s">
        <v>136</v>
      </c>
      <c r="P60" s="8" t="s">
        <v>102</v>
      </c>
      <c r="Q60" s="2" t="s">
        <v>277</v>
      </c>
    </row>
    <row r="61" spans="1:17" ht="16.5" customHeight="1" x14ac:dyDescent="0.25">
      <c r="A61" s="2" t="s">
        <v>31</v>
      </c>
      <c r="B61" s="3">
        <v>225000</v>
      </c>
      <c r="C61" s="2"/>
      <c r="D61" s="2"/>
      <c r="E61" s="2" t="s">
        <v>32</v>
      </c>
      <c r="F61" s="2" t="s">
        <v>215</v>
      </c>
      <c r="G61" s="17" t="s">
        <v>278</v>
      </c>
      <c r="H61" s="8" t="s">
        <v>567</v>
      </c>
      <c r="I61" s="8" t="s">
        <v>216</v>
      </c>
      <c r="J61" s="8">
        <v>20</v>
      </c>
      <c r="K61" s="16">
        <v>50000</v>
      </c>
      <c r="L61" s="8">
        <v>55</v>
      </c>
      <c r="M61" s="8">
        <v>10</v>
      </c>
      <c r="N61" s="8">
        <v>35</v>
      </c>
      <c r="O61" s="8" t="s">
        <v>136</v>
      </c>
      <c r="P61" s="8" t="s">
        <v>102</v>
      </c>
      <c r="Q61" s="2" t="s">
        <v>183</v>
      </c>
    </row>
    <row r="62" spans="1:17" ht="16.5" customHeight="1" x14ac:dyDescent="0.25">
      <c r="A62" s="2" t="s">
        <v>33</v>
      </c>
      <c r="B62" s="3">
        <v>1125000</v>
      </c>
      <c r="C62" s="2"/>
      <c r="D62" s="2"/>
      <c r="E62" s="2" t="s">
        <v>34</v>
      </c>
      <c r="F62" s="2" t="s">
        <v>217</v>
      </c>
      <c r="G62" s="8">
        <v>1</v>
      </c>
      <c r="H62" s="8" t="s">
        <v>566</v>
      </c>
      <c r="I62" s="8" t="s">
        <v>162</v>
      </c>
      <c r="J62" s="8">
        <v>20</v>
      </c>
      <c r="K62" s="16">
        <v>65000</v>
      </c>
      <c r="L62" s="8">
        <v>110</v>
      </c>
      <c r="M62" s="8" t="s">
        <v>214</v>
      </c>
      <c r="N62" s="8">
        <v>35</v>
      </c>
      <c r="O62" s="8" t="s">
        <v>136</v>
      </c>
      <c r="P62" s="8" t="s">
        <v>132</v>
      </c>
      <c r="Q62" s="2" t="s">
        <v>218</v>
      </c>
    </row>
    <row r="63" spans="1:17" ht="16.5" customHeight="1" x14ac:dyDescent="0.25">
      <c r="A63" s="2" t="s">
        <v>35</v>
      </c>
      <c r="B63" s="2">
        <v>100</v>
      </c>
      <c r="C63" s="2"/>
      <c r="D63" s="2"/>
      <c r="E63" s="2">
        <v>1</v>
      </c>
      <c r="F63" s="2" t="s">
        <v>219</v>
      </c>
      <c r="G63" s="8">
        <v>1</v>
      </c>
      <c r="H63" s="8" t="s">
        <v>566</v>
      </c>
      <c r="I63" s="8" t="s">
        <v>162</v>
      </c>
      <c r="J63" s="8">
        <v>20</v>
      </c>
      <c r="K63" s="16">
        <v>85000</v>
      </c>
      <c r="L63" s="8">
        <v>110</v>
      </c>
      <c r="M63" s="8" t="s">
        <v>214</v>
      </c>
      <c r="N63" s="8">
        <v>35</v>
      </c>
      <c r="O63" s="8" t="s">
        <v>136</v>
      </c>
      <c r="P63" s="8" t="s">
        <v>132</v>
      </c>
      <c r="Q63" s="2" t="s">
        <v>220</v>
      </c>
    </row>
    <row r="64" spans="1:17" ht="16.5" customHeight="1" x14ac:dyDescent="0.25">
      <c r="A64" s="2" t="s">
        <v>36</v>
      </c>
      <c r="B64" s="2">
        <v>840</v>
      </c>
      <c r="C64" s="2"/>
      <c r="D64" s="2"/>
      <c r="E64" s="2">
        <v>6</v>
      </c>
      <c r="F64" s="115" t="s">
        <v>666</v>
      </c>
    </row>
    <row r="65" spans="1:28" ht="16.5" customHeight="1" x14ac:dyDescent="0.25">
      <c r="A65" s="2" t="s">
        <v>37</v>
      </c>
      <c r="B65" s="3">
        <v>9000</v>
      </c>
      <c r="C65" s="2"/>
      <c r="D65" s="2"/>
      <c r="E65" s="2" t="s">
        <v>28</v>
      </c>
      <c r="F65" s="2" t="s">
        <v>222</v>
      </c>
      <c r="G65" s="8">
        <v>1</v>
      </c>
      <c r="H65" s="8" t="s">
        <v>569</v>
      </c>
      <c r="I65" s="8" t="s">
        <v>149</v>
      </c>
      <c r="J65" s="8" t="s">
        <v>223</v>
      </c>
      <c r="K65" s="8">
        <v>360</v>
      </c>
      <c r="L65" s="8">
        <v>80</v>
      </c>
      <c r="M65" s="8">
        <v>1</v>
      </c>
      <c r="N65" s="8">
        <v>8</v>
      </c>
      <c r="O65" s="8">
        <v>1</v>
      </c>
      <c r="P65" s="8" t="s">
        <v>63</v>
      </c>
      <c r="Q65" s="2" t="s">
        <v>224</v>
      </c>
    </row>
    <row r="66" spans="1:28" ht="16.5" customHeight="1" x14ac:dyDescent="0.25">
      <c r="A66" s="2" t="s">
        <v>38</v>
      </c>
      <c r="B66" s="3">
        <v>45000</v>
      </c>
      <c r="C66" s="2"/>
      <c r="D66" s="2"/>
      <c r="E66" s="2" t="s">
        <v>30</v>
      </c>
      <c r="F66" s="2" t="s">
        <v>225</v>
      </c>
      <c r="G66" s="8">
        <v>1</v>
      </c>
      <c r="H66" s="8" t="s">
        <v>570</v>
      </c>
      <c r="I66" s="8" t="s">
        <v>200</v>
      </c>
      <c r="J66" s="8">
        <v>20</v>
      </c>
      <c r="K66" s="8">
        <v>520</v>
      </c>
      <c r="L66" s="8">
        <v>200</v>
      </c>
      <c r="M66" s="8">
        <v>200</v>
      </c>
      <c r="N66" s="8">
        <v>16</v>
      </c>
      <c r="O66" s="8">
        <v>1</v>
      </c>
      <c r="P66" s="8" t="s">
        <v>132</v>
      </c>
      <c r="Q66" s="2" t="s">
        <v>119</v>
      </c>
    </row>
    <row r="67" spans="1:28" ht="16.5" customHeight="1" x14ac:dyDescent="0.25">
      <c r="A67" s="2" t="s">
        <v>39</v>
      </c>
      <c r="B67" s="3">
        <v>225000</v>
      </c>
      <c r="C67" s="2"/>
      <c r="D67" s="2"/>
      <c r="E67" s="2" t="s">
        <v>32</v>
      </c>
      <c r="F67" s="2" t="s">
        <v>226</v>
      </c>
      <c r="G67" s="8">
        <v>1</v>
      </c>
      <c r="H67" s="8" t="s">
        <v>571</v>
      </c>
      <c r="I67" s="8" t="s">
        <v>162</v>
      </c>
      <c r="J67" s="8">
        <v>10</v>
      </c>
      <c r="K67" s="16">
        <v>1800</v>
      </c>
      <c r="L67" s="8">
        <v>55</v>
      </c>
      <c r="M67" s="8">
        <v>400</v>
      </c>
      <c r="N67" s="8">
        <v>16</v>
      </c>
      <c r="O67" s="8">
        <v>1</v>
      </c>
      <c r="P67" s="8" t="s">
        <v>132</v>
      </c>
      <c r="Q67" s="2" t="s">
        <v>192</v>
      </c>
    </row>
    <row r="68" spans="1:28" ht="16.5" customHeight="1" x14ac:dyDescent="0.25">
      <c r="A68" s="2" t="s">
        <v>40</v>
      </c>
      <c r="B68" s="3">
        <v>1125000</v>
      </c>
      <c r="C68" s="2"/>
      <c r="D68" s="2"/>
      <c r="E68" s="2" t="s">
        <v>34</v>
      </c>
      <c r="F68" s="2" t="s">
        <v>227</v>
      </c>
      <c r="G68" s="8">
        <v>1</v>
      </c>
      <c r="H68" s="8" t="s">
        <v>570</v>
      </c>
      <c r="I68" s="8" t="s">
        <v>200</v>
      </c>
      <c r="J68" s="8">
        <v>25</v>
      </c>
      <c r="K68" s="16">
        <v>3400</v>
      </c>
      <c r="L68" s="8">
        <v>350</v>
      </c>
      <c r="M68" s="8">
        <v>600</v>
      </c>
      <c r="N68" s="8">
        <v>20</v>
      </c>
      <c r="O68" s="8">
        <v>1</v>
      </c>
      <c r="P68" s="8" t="s">
        <v>102</v>
      </c>
      <c r="Q68" s="2" t="s">
        <v>228</v>
      </c>
    </row>
    <row r="69" spans="1:28" ht="16.5" customHeight="1" x14ac:dyDescent="0.25">
      <c r="A69" s="2" t="s">
        <v>41</v>
      </c>
      <c r="B69" s="2">
        <v>100</v>
      </c>
      <c r="C69" s="2"/>
      <c r="D69" s="2"/>
      <c r="E69" s="2">
        <v>1</v>
      </c>
      <c r="F69" s="2" t="s">
        <v>229</v>
      </c>
      <c r="G69" s="17" t="s">
        <v>278</v>
      </c>
      <c r="H69" s="8" t="s">
        <v>572</v>
      </c>
      <c r="I69" s="8" t="s">
        <v>230</v>
      </c>
      <c r="J69" s="8">
        <v>30</v>
      </c>
      <c r="K69" s="16">
        <v>65000</v>
      </c>
      <c r="L69" s="8">
        <v>150</v>
      </c>
      <c r="M69" s="8">
        <v>5</v>
      </c>
      <c r="N69" s="8">
        <v>24</v>
      </c>
      <c r="O69" s="8" t="s">
        <v>20</v>
      </c>
      <c r="P69" s="8" t="s">
        <v>231</v>
      </c>
      <c r="Q69" s="2" t="s">
        <v>183</v>
      </c>
    </row>
    <row r="70" spans="1:28" ht="16.5" customHeight="1" x14ac:dyDescent="0.25">
      <c r="A70" s="2" t="s">
        <v>42</v>
      </c>
      <c r="B70" s="2">
        <v>840</v>
      </c>
      <c r="C70" s="2"/>
      <c r="D70" s="2"/>
      <c r="E70" s="2">
        <v>6</v>
      </c>
      <c r="F70" s="2" t="s">
        <v>232</v>
      </c>
      <c r="G70" s="8">
        <v>2</v>
      </c>
      <c r="H70" s="8" t="s">
        <v>573</v>
      </c>
      <c r="I70" s="8" t="s">
        <v>200</v>
      </c>
      <c r="J70" s="8">
        <v>30</v>
      </c>
      <c r="K70" s="16">
        <v>65000</v>
      </c>
      <c r="L70" s="8">
        <v>350</v>
      </c>
      <c r="M70" s="8" t="s">
        <v>233</v>
      </c>
      <c r="N70" s="8">
        <v>24</v>
      </c>
      <c r="O70" s="8" t="s">
        <v>20</v>
      </c>
      <c r="P70" s="8" t="s">
        <v>102</v>
      </c>
      <c r="Q70" s="2" t="s">
        <v>129</v>
      </c>
    </row>
    <row r="71" spans="1:28" ht="16.5" customHeight="1" x14ac:dyDescent="0.25">
      <c r="A71" s="2" t="s">
        <v>43</v>
      </c>
      <c r="B71" s="3">
        <v>9000</v>
      </c>
      <c r="C71" s="2"/>
      <c r="D71" s="2"/>
      <c r="E71" s="2" t="s">
        <v>28</v>
      </c>
      <c r="F71" s="2" t="s">
        <v>234</v>
      </c>
      <c r="G71" s="8">
        <v>2</v>
      </c>
      <c r="H71" s="8" t="s">
        <v>572</v>
      </c>
      <c r="I71" s="8" t="s">
        <v>216</v>
      </c>
      <c r="J71" s="8">
        <v>30</v>
      </c>
      <c r="K71" s="16">
        <v>105000</v>
      </c>
      <c r="L71" s="8">
        <v>500</v>
      </c>
      <c r="M71" s="8">
        <v>10</v>
      </c>
      <c r="N71" s="8">
        <v>25</v>
      </c>
      <c r="O71" s="8" t="s">
        <v>20</v>
      </c>
      <c r="P71" s="8" t="s">
        <v>132</v>
      </c>
      <c r="Q71" s="2" t="s">
        <v>177</v>
      </c>
    </row>
    <row r="72" spans="1:28" ht="16.5" customHeight="1" x14ac:dyDescent="0.25">
      <c r="A72" s="2" t="s">
        <v>44</v>
      </c>
      <c r="B72" s="3">
        <v>45000</v>
      </c>
      <c r="C72" s="2"/>
      <c r="D72" s="2"/>
      <c r="E72" s="2" t="s">
        <v>30</v>
      </c>
      <c r="F72" s="2" t="s">
        <v>235</v>
      </c>
      <c r="G72" s="8">
        <v>2</v>
      </c>
      <c r="H72" s="8" t="s">
        <v>574</v>
      </c>
      <c r="I72" s="8" t="s">
        <v>200</v>
      </c>
      <c r="J72" s="8">
        <v>30</v>
      </c>
      <c r="K72" s="16">
        <v>625000</v>
      </c>
      <c r="L72" s="8">
        <v>350</v>
      </c>
      <c r="M72" s="8" t="s">
        <v>214</v>
      </c>
      <c r="N72" s="8">
        <v>25</v>
      </c>
      <c r="O72" s="8" t="s">
        <v>136</v>
      </c>
      <c r="P72" s="8" t="s">
        <v>231</v>
      </c>
      <c r="Q72" s="2" t="s">
        <v>236</v>
      </c>
    </row>
    <row r="73" spans="1:28" ht="16.5" customHeight="1" x14ac:dyDescent="0.25">
      <c r="A73" s="2" t="s">
        <v>45</v>
      </c>
      <c r="B73" s="3">
        <v>225000</v>
      </c>
      <c r="C73" s="2"/>
      <c r="D73" s="2"/>
      <c r="E73" s="2" t="s">
        <v>32</v>
      </c>
      <c r="F73" s="115" t="s">
        <v>667</v>
      </c>
    </row>
    <row r="74" spans="1:28" ht="16.5" customHeight="1" x14ac:dyDescent="0.25">
      <c r="A74" s="2" t="s">
        <v>46</v>
      </c>
      <c r="B74" s="3">
        <v>1125000</v>
      </c>
      <c r="C74" s="2"/>
      <c r="D74" s="2"/>
      <c r="E74" s="2" t="s">
        <v>34</v>
      </c>
      <c r="F74" s="2" t="s">
        <v>237</v>
      </c>
      <c r="G74" s="8">
        <v>2</v>
      </c>
      <c r="H74" s="8" t="s">
        <v>444</v>
      </c>
      <c r="I74" s="12" t="s">
        <v>173</v>
      </c>
      <c r="J74" s="8">
        <v>0</v>
      </c>
      <c r="K74" s="8">
        <v>100</v>
      </c>
      <c r="L74" s="8">
        <v>4</v>
      </c>
      <c r="M74" s="8">
        <v>6</v>
      </c>
      <c r="N74" s="8">
        <v>2</v>
      </c>
      <c r="O74" s="8">
        <v>1</v>
      </c>
      <c r="P74" s="8" t="s">
        <v>63</v>
      </c>
      <c r="Q74" s="2"/>
    </row>
    <row r="75" spans="1:28" ht="16.5" customHeight="1" x14ac:dyDescent="0.25">
      <c r="A75" s="2" t="s">
        <v>47</v>
      </c>
      <c r="B75" s="3">
        <v>625000</v>
      </c>
      <c r="C75" s="2"/>
      <c r="D75" s="2"/>
      <c r="E75" s="2" t="s">
        <v>48</v>
      </c>
      <c r="F75" s="2" t="s">
        <v>238</v>
      </c>
      <c r="G75" s="8">
        <v>1</v>
      </c>
      <c r="H75" s="8" t="s">
        <v>444</v>
      </c>
      <c r="I75" s="12" t="s">
        <v>278</v>
      </c>
      <c r="J75" s="8">
        <v>0</v>
      </c>
      <c r="K75" s="8">
        <v>20</v>
      </c>
      <c r="L75" s="8">
        <v>2</v>
      </c>
      <c r="M75" s="8">
        <v>3</v>
      </c>
      <c r="N75" s="8">
        <v>2</v>
      </c>
      <c r="O75" s="8">
        <v>1</v>
      </c>
      <c r="P75" s="8" t="s">
        <v>63</v>
      </c>
      <c r="Q75" s="2" t="s">
        <v>239</v>
      </c>
    </row>
    <row r="76" spans="1:28" ht="16.5" customHeight="1" x14ac:dyDescent="0.25">
      <c r="A76" s="2" t="s">
        <v>49</v>
      </c>
      <c r="B76" s="3">
        <v>2125000</v>
      </c>
      <c r="C76" s="2"/>
      <c r="D76" s="2"/>
      <c r="E76" s="2" t="s">
        <v>50</v>
      </c>
      <c r="F76" s="2" t="s">
        <v>240</v>
      </c>
      <c r="G76" s="8">
        <v>2</v>
      </c>
      <c r="H76" s="8" t="s">
        <v>578</v>
      </c>
      <c r="I76" s="12" t="s">
        <v>278</v>
      </c>
      <c r="J76" s="8">
        <v>0</v>
      </c>
      <c r="K76" s="8">
        <v>360</v>
      </c>
      <c r="L76" s="8">
        <v>3</v>
      </c>
      <c r="M76" s="8">
        <v>3</v>
      </c>
      <c r="N76" s="8">
        <v>4</v>
      </c>
      <c r="O76" s="8">
        <v>1</v>
      </c>
      <c r="P76" s="8" t="s">
        <v>63</v>
      </c>
      <c r="Q76" s="2" t="s">
        <v>241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6.5" customHeight="1" x14ac:dyDescent="0.25">
      <c r="A77" s="2" t="s">
        <v>51</v>
      </c>
      <c r="B77" s="2">
        <v>100</v>
      </c>
      <c r="C77" s="2"/>
      <c r="D77" s="2"/>
      <c r="E77" s="2">
        <v>1</v>
      </c>
      <c r="F77" s="2" t="s">
        <v>139</v>
      </c>
      <c r="G77" s="8">
        <v>2</v>
      </c>
      <c r="H77" s="8" t="s">
        <v>578</v>
      </c>
      <c r="I77" s="12" t="s">
        <v>172</v>
      </c>
      <c r="J77" s="8">
        <v>0</v>
      </c>
      <c r="K77" s="8">
        <v>360</v>
      </c>
      <c r="L77" s="8">
        <v>3</v>
      </c>
      <c r="M77" s="8">
        <v>1</v>
      </c>
      <c r="N77" s="8">
        <v>4</v>
      </c>
      <c r="O77" s="8">
        <v>1</v>
      </c>
      <c r="P77" s="8" t="s">
        <v>63</v>
      </c>
      <c r="Q77" s="2" t="s">
        <v>241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1"/>
    </row>
    <row r="78" spans="1:28" ht="16.5" customHeight="1" x14ac:dyDescent="0.25">
      <c r="A78" s="2" t="s">
        <v>52</v>
      </c>
      <c r="B78" s="2">
        <v>840</v>
      </c>
      <c r="C78" s="2"/>
      <c r="D78" s="2"/>
      <c r="E78" s="2">
        <v>6</v>
      </c>
      <c r="F78" s="2" t="s">
        <v>242</v>
      </c>
      <c r="G78" s="8">
        <v>1</v>
      </c>
      <c r="H78" s="8" t="s">
        <v>579</v>
      </c>
      <c r="I78" s="8" t="s">
        <v>216</v>
      </c>
      <c r="J78" s="8">
        <v>5</v>
      </c>
      <c r="K78" s="16">
        <v>25000</v>
      </c>
      <c r="L78" s="8">
        <v>600</v>
      </c>
      <c r="M78" s="8">
        <v>1</v>
      </c>
      <c r="N78" s="8">
        <v>16</v>
      </c>
      <c r="O78" s="8">
        <v>1</v>
      </c>
      <c r="P78" s="8" t="s">
        <v>104</v>
      </c>
      <c r="Q78" s="2" t="s">
        <v>243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1"/>
    </row>
    <row r="79" spans="1:28" ht="16.5" customHeight="1" x14ac:dyDescent="0.25">
      <c r="A79" s="2" t="s">
        <v>53</v>
      </c>
      <c r="B79" s="3">
        <v>9000</v>
      </c>
      <c r="C79" s="2"/>
      <c r="D79" s="2"/>
      <c r="E79" s="2" t="s">
        <v>28</v>
      </c>
      <c r="F79" s="2" t="s">
        <v>244</v>
      </c>
      <c r="G79" s="8">
        <f>0/1</f>
        <v>0</v>
      </c>
      <c r="H79" s="8" t="s">
        <v>563</v>
      </c>
      <c r="I79" s="8" t="s">
        <v>63</v>
      </c>
      <c r="J79" s="8">
        <v>0</v>
      </c>
      <c r="K79" s="8">
        <v>840</v>
      </c>
      <c r="L79" s="8">
        <v>20</v>
      </c>
      <c r="M79" s="8">
        <v>12</v>
      </c>
      <c r="N79" s="8">
        <v>12</v>
      </c>
      <c r="O79" s="8">
        <v>1</v>
      </c>
      <c r="P79" s="8" t="s">
        <v>104</v>
      </c>
      <c r="Q79" s="2" t="s">
        <v>245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1"/>
    </row>
    <row r="80" spans="1:28" ht="16.5" customHeight="1" x14ac:dyDescent="0.25">
      <c r="A80" s="2" t="s">
        <v>54</v>
      </c>
      <c r="B80" s="3">
        <v>45000</v>
      </c>
      <c r="C80" s="2"/>
      <c r="D80" s="2"/>
      <c r="E80" s="2" t="s">
        <v>30</v>
      </c>
      <c r="F80" s="2" t="s">
        <v>139</v>
      </c>
      <c r="G80" s="8">
        <f>0/1</f>
        <v>0</v>
      </c>
      <c r="H80" s="8" t="s">
        <v>563</v>
      </c>
      <c r="I80" s="8" t="s">
        <v>63</v>
      </c>
      <c r="J80" s="8">
        <v>0</v>
      </c>
      <c r="K80" s="8">
        <v>840</v>
      </c>
      <c r="L80" s="8">
        <v>5</v>
      </c>
      <c r="M80" s="8">
        <v>3</v>
      </c>
      <c r="N80" s="8">
        <v>12</v>
      </c>
      <c r="O80" s="8">
        <v>1</v>
      </c>
      <c r="P80" s="8" t="s">
        <v>104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"/>
    </row>
    <row r="81" spans="1:28" ht="16.5" customHeight="1" x14ac:dyDescent="0.25">
      <c r="A81" s="2" t="s">
        <v>55</v>
      </c>
      <c r="B81" s="3">
        <v>225000</v>
      </c>
      <c r="C81" s="2"/>
      <c r="D81" s="2"/>
      <c r="E81" s="2" t="s">
        <v>32</v>
      </c>
      <c r="F81" s="2" t="s">
        <v>246</v>
      </c>
      <c r="G81" s="8">
        <v>1</v>
      </c>
      <c r="H81" s="8" t="s">
        <v>444</v>
      </c>
      <c r="I81" s="8" t="s">
        <v>111</v>
      </c>
      <c r="J81" s="8">
        <v>0</v>
      </c>
      <c r="K81" s="16">
        <v>1000</v>
      </c>
      <c r="L81" s="8">
        <v>15</v>
      </c>
      <c r="M81" s="8">
        <v>6</v>
      </c>
      <c r="N81" s="8">
        <v>12</v>
      </c>
      <c r="O81" s="8">
        <v>1</v>
      </c>
      <c r="P81" s="8" t="s">
        <v>63</v>
      </c>
      <c r="Q81" s="2" t="s">
        <v>247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1"/>
    </row>
    <row r="82" spans="1:28" ht="16.5" customHeight="1" x14ac:dyDescent="0.25">
      <c r="A82" s="2" t="s">
        <v>56</v>
      </c>
      <c r="B82" s="3">
        <v>1125000</v>
      </c>
      <c r="C82" s="2"/>
      <c r="D82" s="2"/>
      <c r="E82" s="2" t="s">
        <v>34</v>
      </c>
      <c r="F82" s="2" t="s">
        <v>248</v>
      </c>
      <c r="G82" s="8">
        <v>1</v>
      </c>
      <c r="H82" s="8" t="s">
        <v>569</v>
      </c>
      <c r="I82" s="12" t="s">
        <v>173</v>
      </c>
      <c r="J82" s="8" t="s">
        <v>223</v>
      </c>
      <c r="K82" s="8">
        <v>360</v>
      </c>
      <c r="L82" s="8">
        <v>9</v>
      </c>
      <c r="M82" s="8">
        <v>1</v>
      </c>
      <c r="N82" s="8">
        <v>4</v>
      </c>
      <c r="O82" s="8">
        <v>1</v>
      </c>
      <c r="P82" s="8" t="s">
        <v>63</v>
      </c>
      <c r="Q82" s="2" t="s">
        <v>249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6.5" customHeight="1" x14ac:dyDescent="0.25">
      <c r="A83" s="7"/>
      <c r="F83" s="2" t="s">
        <v>139</v>
      </c>
      <c r="G83" s="8">
        <v>1</v>
      </c>
      <c r="H83" s="8" t="s">
        <v>569</v>
      </c>
      <c r="I83" s="12" t="s">
        <v>173</v>
      </c>
      <c r="J83" s="8" t="s">
        <v>223</v>
      </c>
      <c r="K83" s="8">
        <v>500</v>
      </c>
      <c r="L83" s="8">
        <v>3</v>
      </c>
      <c r="M83" s="8">
        <v>1</v>
      </c>
      <c r="N83" s="8">
        <v>4</v>
      </c>
      <c r="O83" s="8">
        <v>1</v>
      </c>
      <c r="P83" s="8" t="s">
        <v>63</v>
      </c>
      <c r="Q83" s="2" t="s">
        <v>249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1"/>
    </row>
    <row r="84" spans="1:28" ht="16.5" customHeight="1" x14ac:dyDescent="0.25">
      <c r="F84" s="2" t="s">
        <v>250</v>
      </c>
      <c r="G84" s="8">
        <v>1</v>
      </c>
      <c r="H84" s="8" t="s">
        <v>569</v>
      </c>
      <c r="I84" s="8" t="s">
        <v>99</v>
      </c>
      <c r="J84" s="8" t="s">
        <v>223</v>
      </c>
      <c r="K84" s="8">
        <v>520</v>
      </c>
      <c r="L84" s="8">
        <v>40</v>
      </c>
      <c r="M84" s="8">
        <v>6</v>
      </c>
      <c r="N84" s="8">
        <v>4</v>
      </c>
      <c r="O84" s="8">
        <v>1</v>
      </c>
      <c r="P84" s="8" t="s">
        <v>63</v>
      </c>
      <c r="Q84" s="2" t="s">
        <v>251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1"/>
    </row>
    <row r="85" spans="1:28" ht="16.5" customHeight="1" x14ac:dyDescent="0.25">
      <c r="F85" s="2" t="s">
        <v>252</v>
      </c>
      <c r="G85" s="8">
        <v>1</v>
      </c>
      <c r="H85" s="8" t="s">
        <v>573</v>
      </c>
      <c r="I85" s="8" t="s">
        <v>200</v>
      </c>
      <c r="J85" s="8">
        <v>25</v>
      </c>
      <c r="K85" s="16">
        <v>25000</v>
      </c>
      <c r="L85" s="8">
        <v>400</v>
      </c>
      <c r="M85" s="8">
        <v>4</v>
      </c>
      <c r="N85" s="8">
        <v>16</v>
      </c>
      <c r="O85" s="8">
        <v>1</v>
      </c>
      <c r="P85" s="8" t="s">
        <v>104</v>
      </c>
      <c r="Q85" s="2" t="s">
        <v>253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1"/>
    </row>
    <row r="86" spans="1:28" ht="16.5" customHeight="1" x14ac:dyDescent="0.25">
      <c r="F86" s="2" t="s">
        <v>276</v>
      </c>
      <c r="G86" s="8">
        <v>2</v>
      </c>
      <c r="H86" s="8" t="s">
        <v>573</v>
      </c>
      <c r="I86" s="8" t="s">
        <v>216</v>
      </c>
      <c r="J86" s="8">
        <v>20</v>
      </c>
      <c r="K86" s="16">
        <v>3400</v>
      </c>
      <c r="L86" s="8">
        <v>30</v>
      </c>
      <c r="M86" s="8">
        <v>1</v>
      </c>
      <c r="N86" s="8">
        <v>12</v>
      </c>
      <c r="O86" s="8">
        <v>1</v>
      </c>
      <c r="P86" s="8" t="s">
        <v>104</v>
      </c>
      <c r="Q86" s="2" t="s">
        <v>255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1"/>
    </row>
    <row r="87" spans="1:28" ht="16.5" customHeight="1" x14ac:dyDescent="0.25">
      <c r="F87" s="2" t="s">
        <v>256</v>
      </c>
      <c r="G87" s="8">
        <v>3</v>
      </c>
      <c r="H87" s="8" t="s">
        <v>444</v>
      </c>
      <c r="I87" s="12" t="s">
        <v>172</v>
      </c>
      <c r="J87" s="8">
        <v>0</v>
      </c>
      <c r="K87" s="8">
        <v>840</v>
      </c>
      <c r="L87" s="8">
        <v>10</v>
      </c>
      <c r="M87" s="8">
        <v>1</v>
      </c>
      <c r="N87" s="8">
        <v>8</v>
      </c>
      <c r="O87" s="8">
        <v>1</v>
      </c>
      <c r="P87" s="8" t="s">
        <v>63</v>
      </c>
      <c r="Q87" s="2" t="s">
        <v>257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1"/>
    </row>
    <row r="88" spans="1:28" ht="16.5" customHeight="1" x14ac:dyDescent="0.25">
      <c r="F88" s="2" t="s">
        <v>258</v>
      </c>
      <c r="G88" s="8">
        <v>2</v>
      </c>
      <c r="H88" s="8" t="s">
        <v>580</v>
      </c>
      <c r="I88" s="8" t="s">
        <v>111</v>
      </c>
      <c r="J88" s="8">
        <v>5</v>
      </c>
      <c r="K88" s="16">
        <v>17000</v>
      </c>
      <c r="L88" s="8">
        <v>15</v>
      </c>
      <c r="M88" s="8">
        <v>3</v>
      </c>
      <c r="N88" s="8">
        <v>12</v>
      </c>
      <c r="O88" s="8" t="s">
        <v>120</v>
      </c>
      <c r="P88" s="8" t="s">
        <v>98</v>
      </c>
      <c r="Q88" s="2" t="s">
        <v>259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1"/>
    </row>
    <row r="89" spans="1:28" ht="16.5" customHeight="1" x14ac:dyDescent="0.25">
      <c r="F89" s="2" t="s">
        <v>139</v>
      </c>
      <c r="G89" s="8">
        <v>2</v>
      </c>
      <c r="H89" s="8" t="s">
        <v>580</v>
      </c>
      <c r="I89" s="8" t="s">
        <v>111</v>
      </c>
      <c r="J89" s="8">
        <v>5</v>
      </c>
      <c r="K89" s="16">
        <v>17000</v>
      </c>
      <c r="L89" s="8">
        <v>15</v>
      </c>
      <c r="M89" s="8">
        <v>1</v>
      </c>
      <c r="N89" s="8">
        <v>12</v>
      </c>
      <c r="O89" s="8" t="s">
        <v>120</v>
      </c>
      <c r="P89" s="8" t="s">
        <v>98</v>
      </c>
      <c r="Q89" s="2" t="s">
        <v>260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1"/>
    </row>
    <row r="90" spans="1:28" ht="16.5" customHeight="1" x14ac:dyDescent="0.25">
      <c r="F90" s="2" t="s">
        <v>261</v>
      </c>
      <c r="G90" s="8">
        <v>3</v>
      </c>
      <c r="H90" s="8" t="s">
        <v>572</v>
      </c>
      <c r="I90" s="8" t="s">
        <v>162</v>
      </c>
      <c r="J90" s="8">
        <v>30</v>
      </c>
      <c r="K90" s="16">
        <v>425000</v>
      </c>
      <c r="L90" s="8">
        <v>200</v>
      </c>
      <c r="M90" s="8" t="s">
        <v>262</v>
      </c>
      <c r="N90" s="8">
        <v>40</v>
      </c>
      <c r="O90" s="8" t="s">
        <v>136</v>
      </c>
      <c r="P90" s="8" t="s">
        <v>132</v>
      </c>
      <c r="Q90" s="2" t="s">
        <v>275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1"/>
    </row>
    <row r="91" spans="1:28" ht="16.5" customHeight="1" x14ac:dyDescent="0.25">
      <c r="F91" s="2" t="s">
        <v>263</v>
      </c>
      <c r="G91" s="8">
        <v>3</v>
      </c>
      <c r="H91" s="8" t="s">
        <v>563</v>
      </c>
      <c r="I91" s="8" t="s">
        <v>155</v>
      </c>
      <c r="J91" s="8">
        <v>10</v>
      </c>
      <c r="K91" s="16">
        <v>325000</v>
      </c>
      <c r="L91" s="8">
        <v>20</v>
      </c>
      <c r="M91" s="8" t="s">
        <v>264</v>
      </c>
      <c r="N91" s="8">
        <v>30</v>
      </c>
      <c r="O91" s="8" t="s">
        <v>136</v>
      </c>
      <c r="P91" s="8" t="s">
        <v>132</v>
      </c>
      <c r="Q91" s="2" t="s">
        <v>265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1"/>
    </row>
    <row r="92" spans="1:28" ht="16.5" customHeight="1" x14ac:dyDescent="0.25">
      <c r="F92" s="2" t="s">
        <v>266</v>
      </c>
      <c r="G92" s="8">
        <v>2</v>
      </c>
      <c r="H92" s="8" t="s">
        <v>579</v>
      </c>
      <c r="I92" s="8" t="s">
        <v>216</v>
      </c>
      <c r="J92" s="8">
        <v>15</v>
      </c>
      <c r="K92" s="16">
        <v>4200</v>
      </c>
      <c r="L92" s="8">
        <v>30</v>
      </c>
      <c r="M92" s="8">
        <v>1</v>
      </c>
      <c r="N92" s="8">
        <v>20</v>
      </c>
      <c r="O92" s="8">
        <v>1</v>
      </c>
      <c r="P92" s="8" t="s">
        <v>104</v>
      </c>
      <c r="Q92" s="2" t="s">
        <v>267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1"/>
    </row>
    <row r="93" spans="1:28" ht="16.5" customHeight="1" x14ac:dyDescent="0.25">
      <c r="F93" s="2" t="s">
        <v>268</v>
      </c>
      <c r="G93" s="8">
        <v>1</v>
      </c>
      <c r="H93" s="8" t="s">
        <v>573</v>
      </c>
      <c r="I93" s="8" t="s">
        <v>200</v>
      </c>
      <c r="J93" s="8">
        <v>15</v>
      </c>
      <c r="K93" s="16">
        <v>25000</v>
      </c>
      <c r="L93" s="8">
        <v>800</v>
      </c>
      <c r="M93" s="8">
        <v>12</v>
      </c>
      <c r="N93" s="8">
        <v>4</v>
      </c>
      <c r="O93" s="8">
        <v>1</v>
      </c>
      <c r="P93" s="8" t="s">
        <v>104</v>
      </c>
      <c r="Q93" s="2" t="s">
        <v>247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1"/>
    </row>
    <row r="94" spans="1:28" ht="16.5" customHeight="1" x14ac:dyDescent="0.25">
      <c r="F94" s="2" t="s">
        <v>254</v>
      </c>
      <c r="G94" s="8">
        <v>1</v>
      </c>
      <c r="H94" s="8" t="s">
        <v>581</v>
      </c>
      <c r="I94" s="8" t="s">
        <v>200</v>
      </c>
      <c r="J94" s="8">
        <v>15</v>
      </c>
      <c r="K94" s="8">
        <v>840</v>
      </c>
      <c r="L94" s="8">
        <v>20</v>
      </c>
      <c r="M94" s="8">
        <v>1</v>
      </c>
      <c r="N94" s="8">
        <v>4</v>
      </c>
      <c r="O94" s="8">
        <v>1</v>
      </c>
      <c r="P94" s="8" t="s">
        <v>104</v>
      </c>
      <c r="Q94" s="2" t="s">
        <v>247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1"/>
    </row>
    <row r="95" spans="1:28" ht="16.5" customHeight="1" x14ac:dyDescent="0.25">
      <c r="F95" s="2" t="s">
        <v>269</v>
      </c>
      <c r="G95" s="8">
        <v>3</v>
      </c>
      <c r="H95" s="8" t="s">
        <v>444</v>
      </c>
      <c r="I95" s="12" t="s">
        <v>173</v>
      </c>
      <c r="J95" s="8">
        <v>0</v>
      </c>
      <c r="K95" s="16">
        <v>65000</v>
      </c>
      <c r="L95" s="8">
        <v>12</v>
      </c>
      <c r="M95" s="8" t="s">
        <v>270</v>
      </c>
      <c r="N95" s="8">
        <v>20</v>
      </c>
      <c r="O95" s="8" t="s">
        <v>271</v>
      </c>
      <c r="P95" s="8" t="s">
        <v>63</v>
      </c>
      <c r="Q95" s="2" t="s">
        <v>257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1"/>
    </row>
    <row r="96" spans="1:28" ht="16.5" customHeight="1" x14ac:dyDescent="0.25">
      <c r="F96" s="2" t="s">
        <v>139</v>
      </c>
      <c r="G96" s="8">
        <v>3</v>
      </c>
      <c r="H96" s="8" t="s">
        <v>444</v>
      </c>
      <c r="I96" s="12" t="s">
        <v>173</v>
      </c>
      <c r="J96" s="8">
        <v>0</v>
      </c>
      <c r="K96" s="16">
        <v>65000</v>
      </c>
      <c r="L96" s="8">
        <v>12</v>
      </c>
      <c r="M96" s="8" t="s">
        <v>272</v>
      </c>
      <c r="N96" s="8">
        <v>20</v>
      </c>
      <c r="O96" s="8" t="s">
        <v>271</v>
      </c>
      <c r="P96" s="8" t="s">
        <v>63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"/>
    </row>
    <row r="97" spans="6:28" ht="16.5" customHeight="1" x14ac:dyDescent="0.25">
      <c r="F97" s="2" t="s">
        <v>273</v>
      </c>
      <c r="G97" s="8">
        <v>3</v>
      </c>
      <c r="H97" s="8">
        <v>12</v>
      </c>
      <c r="I97" s="8" t="s">
        <v>111</v>
      </c>
      <c r="J97" s="8">
        <v>20</v>
      </c>
      <c r="K97" s="16">
        <v>425000</v>
      </c>
      <c r="L97" s="8">
        <v>12</v>
      </c>
      <c r="M97" s="8" t="s">
        <v>274</v>
      </c>
      <c r="N97" s="8">
        <v>30</v>
      </c>
      <c r="O97" s="8" t="s">
        <v>136</v>
      </c>
      <c r="P97" s="8" t="s">
        <v>231</v>
      </c>
      <c r="Q97" s="2" t="s">
        <v>257</v>
      </c>
      <c r="R97" s="2"/>
      <c r="S97" s="2"/>
      <c r="T97" s="2"/>
      <c r="U97" s="2"/>
      <c r="V97" s="2"/>
      <c r="W97" s="2"/>
      <c r="X97" s="2"/>
      <c r="Y97" s="2"/>
      <c r="Z97" s="2"/>
      <c r="AA97" s="2"/>
      <c r="AB97" s="1"/>
    </row>
    <row r="98" spans="6:28" ht="16.5" customHeight="1" x14ac:dyDescent="0.25">
      <c r="F98" s="115" t="s">
        <v>668</v>
      </c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6:28" ht="16.5" customHeight="1" x14ac:dyDescent="0.25">
      <c r="F99" s="2" t="s">
        <v>281</v>
      </c>
      <c r="G99" s="8">
        <v>2</v>
      </c>
      <c r="H99" s="8">
        <v>1</v>
      </c>
      <c r="I99" s="8">
        <v>0</v>
      </c>
      <c r="J99" s="8">
        <v>0</v>
      </c>
      <c r="K99" s="8">
        <v>5</v>
      </c>
      <c r="L99" s="8">
        <v>0</v>
      </c>
      <c r="M99" s="8"/>
      <c r="N99" s="8">
        <v>0</v>
      </c>
      <c r="O99" s="8">
        <v>1</v>
      </c>
      <c r="P99" s="8" t="s">
        <v>98</v>
      </c>
      <c r="Q99" s="2" t="s">
        <v>298</v>
      </c>
      <c r="R99" s="2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6:28" ht="16.5" customHeight="1" x14ac:dyDescent="0.25">
      <c r="F100" s="2" t="s">
        <v>282</v>
      </c>
      <c r="G100" s="8">
        <v>2</v>
      </c>
      <c r="H100" s="8" t="s">
        <v>562</v>
      </c>
      <c r="I100" s="8">
        <v>0</v>
      </c>
      <c r="J100" s="8">
        <v>0</v>
      </c>
      <c r="K100" s="8">
        <v>360</v>
      </c>
      <c r="L100" s="8">
        <v>1</v>
      </c>
      <c r="M100" s="8"/>
      <c r="N100" s="8">
        <v>4</v>
      </c>
      <c r="O100" s="8">
        <v>1</v>
      </c>
      <c r="P100" s="8" t="s">
        <v>98</v>
      </c>
      <c r="Q100" s="2" t="s">
        <v>301</v>
      </c>
      <c r="R100" s="2"/>
    </row>
    <row r="101" spans="6:28" ht="16.5" customHeight="1" x14ac:dyDescent="0.25">
      <c r="F101" s="2" t="s">
        <v>283</v>
      </c>
      <c r="G101" s="8">
        <v>0</v>
      </c>
      <c r="H101" s="8" t="s">
        <v>558</v>
      </c>
      <c r="I101" s="8">
        <v>0</v>
      </c>
      <c r="J101" s="8">
        <v>0</v>
      </c>
      <c r="K101" s="8">
        <v>40</v>
      </c>
      <c r="L101" s="8">
        <v>10</v>
      </c>
      <c r="M101" s="8"/>
      <c r="N101" s="8">
        <v>0</v>
      </c>
      <c r="O101" s="8">
        <v>1</v>
      </c>
      <c r="P101" s="8" t="s">
        <v>104</v>
      </c>
      <c r="Q101" s="2" t="s">
        <v>299</v>
      </c>
      <c r="R101" s="2"/>
    </row>
    <row r="102" spans="6:28" ht="16.5" customHeight="1" x14ac:dyDescent="0.25">
      <c r="F102" s="2" t="s">
        <v>284</v>
      </c>
      <c r="G102" s="8">
        <v>2</v>
      </c>
      <c r="H102" s="8" t="s">
        <v>562</v>
      </c>
      <c r="I102" s="8">
        <v>0</v>
      </c>
      <c r="J102" s="8">
        <v>0</v>
      </c>
      <c r="K102" s="8">
        <v>10</v>
      </c>
      <c r="L102" s="8">
        <v>1</v>
      </c>
      <c r="M102" s="8"/>
      <c r="N102" s="8">
        <v>4</v>
      </c>
      <c r="O102" s="8">
        <v>1</v>
      </c>
      <c r="P102" s="8" t="s">
        <v>98</v>
      </c>
      <c r="Q102" s="2" t="s">
        <v>115</v>
      </c>
      <c r="R102" s="2"/>
    </row>
    <row r="103" spans="6:28" ht="16.5" customHeight="1" x14ac:dyDescent="0.25">
      <c r="F103" s="2" t="s">
        <v>285</v>
      </c>
      <c r="G103" s="8">
        <v>2</v>
      </c>
      <c r="H103" s="8" t="s">
        <v>558</v>
      </c>
      <c r="I103" s="17" t="s">
        <v>172</v>
      </c>
      <c r="J103" s="8">
        <v>0</v>
      </c>
      <c r="K103" s="8">
        <v>50</v>
      </c>
      <c r="L103" s="8">
        <v>1</v>
      </c>
      <c r="M103" s="8"/>
      <c r="N103" s="8">
        <v>4</v>
      </c>
      <c r="O103" s="8">
        <v>1</v>
      </c>
      <c r="P103" s="8" t="s">
        <v>104</v>
      </c>
      <c r="Q103" s="2" t="s">
        <v>115</v>
      </c>
      <c r="R103" s="2"/>
    </row>
    <row r="104" spans="6:28" ht="16.5" customHeight="1" x14ac:dyDescent="0.25">
      <c r="F104" s="2" t="s">
        <v>286</v>
      </c>
      <c r="G104" s="8">
        <v>1</v>
      </c>
      <c r="H104" s="8">
        <v>1</v>
      </c>
      <c r="I104" s="8">
        <v>0</v>
      </c>
      <c r="J104" s="8">
        <v>0</v>
      </c>
      <c r="K104" s="8">
        <v>1</v>
      </c>
      <c r="L104" s="8">
        <v>0</v>
      </c>
      <c r="M104" s="8"/>
      <c r="N104" s="8">
        <v>0</v>
      </c>
      <c r="O104" s="8">
        <v>1</v>
      </c>
      <c r="P104" s="8" t="s">
        <v>98</v>
      </c>
      <c r="Q104" s="2" t="s">
        <v>300</v>
      </c>
      <c r="R104" s="2"/>
    </row>
    <row r="105" spans="6:28" ht="16.5" customHeight="1" x14ac:dyDescent="0.25">
      <c r="F105" s="2" t="s">
        <v>287</v>
      </c>
      <c r="G105" s="8">
        <v>1</v>
      </c>
      <c r="H105" s="8" t="s">
        <v>562</v>
      </c>
      <c r="I105" s="8">
        <v>0</v>
      </c>
      <c r="J105" s="8">
        <v>0</v>
      </c>
      <c r="K105" s="8">
        <v>1</v>
      </c>
      <c r="L105" s="8">
        <v>0</v>
      </c>
      <c r="M105" s="8"/>
      <c r="N105" s="8">
        <v>0</v>
      </c>
      <c r="O105" s="8">
        <v>1</v>
      </c>
      <c r="P105" s="8" t="s">
        <v>98</v>
      </c>
      <c r="Q105" s="2" t="s">
        <v>115</v>
      </c>
      <c r="R105" s="2"/>
    </row>
    <row r="106" spans="6:28" ht="16.5" customHeight="1" x14ac:dyDescent="0.25">
      <c r="F106" s="2" t="s">
        <v>288</v>
      </c>
      <c r="G106" s="8">
        <v>1</v>
      </c>
      <c r="H106" s="8" t="s">
        <v>562</v>
      </c>
      <c r="I106" s="8">
        <v>0</v>
      </c>
      <c r="J106" s="8">
        <v>0</v>
      </c>
      <c r="K106" s="8">
        <v>50</v>
      </c>
      <c r="L106" s="8">
        <v>3</v>
      </c>
      <c r="M106" s="8"/>
      <c r="N106" s="8">
        <v>2</v>
      </c>
      <c r="O106" s="8">
        <v>1</v>
      </c>
      <c r="P106" s="8" t="s">
        <v>98</v>
      </c>
      <c r="Q106" s="2" t="s">
        <v>115</v>
      </c>
      <c r="R106" s="2"/>
    </row>
    <row r="107" spans="6:28" ht="16.5" customHeight="1" x14ac:dyDescent="0.25">
      <c r="F107" s="2" t="s">
        <v>289</v>
      </c>
      <c r="G107" s="8">
        <v>2</v>
      </c>
      <c r="H107" s="8" t="s">
        <v>558</v>
      </c>
      <c r="I107" s="8">
        <v>0</v>
      </c>
      <c r="J107" s="8">
        <v>5</v>
      </c>
      <c r="K107" s="8">
        <v>360</v>
      </c>
      <c r="L107" s="8">
        <v>1</v>
      </c>
      <c r="M107" s="8"/>
      <c r="N107" s="8">
        <v>8</v>
      </c>
      <c r="O107" s="8">
        <v>1</v>
      </c>
      <c r="P107" s="8" t="s">
        <v>98</v>
      </c>
      <c r="Q107" s="2" t="s">
        <v>115</v>
      </c>
      <c r="R107" s="2"/>
    </row>
    <row r="108" spans="6:28" ht="16.5" customHeight="1" x14ac:dyDescent="0.25">
      <c r="F108" s="2" t="s">
        <v>290</v>
      </c>
      <c r="G108" s="8">
        <v>3</v>
      </c>
      <c r="H108" s="8" t="s">
        <v>562</v>
      </c>
      <c r="I108" s="8">
        <v>0</v>
      </c>
      <c r="J108" s="8">
        <v>5</v>
      </c>
      <c r="K108" s="16">
        <v>4200</v>
      </c>
      <c r="L108" s="8">
        <v>2</v>
      </c>
      <c r="M108" s="8" t="s">
        <v>291</v>
      </c>
      <c r="N108" s="8">
        <v>3</v>
      </c>
      <c r="O108" s="8" t="s">
        <v>292</v>
      </c>
      <c r="P108" s="8" t="s">
        <v>98</v>
      </c>
      <c r="Q108" s="2" t="s">
        <v>306</v>
      </c>
      <c r="R108" s="2"/>
    </row>
    <row r="109" spans="6:28" ht="16.5" customHeight="1" x14ac:dyDescent="0.25">
      <c r="F109" s="2" t="s">
        <v>293</v>
      </c>
      <c r="G109" s="8">
        <v>0</v>
      </c>
      <c r="H109" s="8" t="s">
        <v>444</v>
      </c>
      <c r="I109" s="8">
        <v>0</v>
      </c>
      <c r="J109" s="8">
        <v>2</v>
      </c>
      <c r="K109" s="16">
        <v>4200</v>
      </c>
      <c r="L109" s="8">
        <v>5</v>
      </c>
      <c r="M109" s="8" t="s">
        <v>291</v>
      </c>
      <c r="N109" s="8">
        <v>4</v>
      </c>
      <c r="O109" s="8" t="s">
        <v>292</v>
      </c>
      <c r="P109" s="8" t="s">
        <v>102</v>
      </c>
      <c r="Q109" s="2" t="s">
        <v>302</v>
      </c>
      <c r="R109" s="2"/>
    </row>
    <row r="110" spans="6:28" ht="16.5" customHeight="1" x14ac:dyDescent="0.25">
      <c r="F110" s="2" t="s">
        <v>294</v>
      </c>
      <c r="G110" s="8">
        <v>0</v>
      </c>
      <c r="H110" s="8" t="s">
        <v>444</v>
      </c>
      <c r="I110" s="8">
        <v>0</v>
      </c>
      <c r="J110" s="8">
        <v>4</v>
      </c>
      <c r="K110" s="16">
        <v>4200</v>
      </c>
      <c r="L110" s="8">
        <v>8</v>
      </c>
      <c r="M110" s="8" t="s">
        <v>291</v>
      </c>
      <c r="N110" s="8">
        <v>4</v>
      </c>
      <c r="O110" s="8" t="s">
        <v>20</v>
      </c>
      <c r="P110" s="8" t="s">
        <v>63</v>
      </c>
      <c r="Q110" s="2" t="s">
        <v>303</v>
      </c>
      <c r="R110" s="2"/>
    </row>
    <row r="111" spans="6:28" ht="16.5" customHeight="1" x14ac:dyDescent="0.25">
      <c r="F111" s="2" t="s">
        <v>295</v>
      </c>
      <c r="G111" s="8">
        <v>0</v>
      </c>
      <c r="H111" s="8" t="s">
        <v>444</v>
      </c>
      <c r="I111" s="8">
        <v>0</v>
      </c>
      <c r="J111" s="8">
        <v>0</v>
      </c>
      <c r="K111" s="16">
        <v>4200</v>
      </c>
      <c r="L111" s="8">
        <v>2</v>
      </c>
      <c r="M111" s="8"/>
      <c r="N111" s="8">
        <v>2</v>
      </c>
      <c r="O111" s="8">
        <v>1</v>
      </c>
      <c r="P111" s="8" t="s">
        <v>98</v>
      </c>
      <c r="Q111" s="2" t="s">
        <v>304</v>
      </c>
      <c r="R111" s="2"/>
    </row>
    <row r="112" spans="6:28" ht="16.5" customHeight="1" x14ac:dyDescent="0.25">
      <c r="F112" s="2" t="s">
        <v>296</v>
      </c>
      <c r="G112" s="8">
        <v>0</v>
      </c>
      <c r="H112" s="8" t="s">
        <v>444</v>
      </c>
      <c r="I112" s="8">
        <v>0</v>
      </c>
      <c r="J112" s="8">
        <v>0</v>
      </c>
      <c r="K112" s="16">
        <v>4200</v>
      </c>
      <c r="L112" s="8">
        <v>3</v>
      </c>
      <c r="M112" s="8" t="s">
        <v>297</v>
      </c>
      <c r="N112" s="8">
        <v>7</v>
      </c>
      <c r="O112" s="8" t="s">
        <v>136</v>
      </c>
      <c r="P112" s="8" t="s">
        <v>63</v>
      </c>
      <c r="Q112" s="2" t="s">
        <v>305</v>
      </c>
      <c r="R112" s="2"/>
    </row>
    <row r="113" spans="6:18" ht="16.5" customHeight="1" x14ac:dyDescent="0.25">
      <c r="F113" s="2" t="s">
        <v>556</v>
      </c>
      <c r="G113" s="8">
        <v>0</v>
      </c>
      <c r="H113" s="8" t="s">
        <v>562</v>
      </c>
      <c r="I113" s="8">
        <v>0</v>
      </c>
      <c r="J113" s="16">
        <v>0</v>
      </c>
      <c r="K113" s="8">
        <v>0</v>
      </c>
      <c r="L113" s="8">
        <v>0</v>
      </c>
      <c r="M113" s="8"/>
      <c r="N113" s="8">
        <v>0</v>
      </c>
      <c r="O113" s="8">
        <v>0</v>
      </c>
      <c r="P113" s="62">
        <v>0</v>
      </c>
      <c r="Q113" s="2"/>
      <c r="R113" s="2"/>
    </row>
    <row r="114" spans="6:18" ht="16.5" customHeight="1" x14ac:dyDescent="0.25">
      <c r="F114" s="63" t="s">
        <v>557</v>
      </c>
      <c r="G114" s="62">
        <v>3</v>
      </c>
      <c r="H114" s="62" t="s">
        <v>558</v>
      </c>
      <c r="I114" s="62">
        <v>0</v>
      </c>
      <c r="J114" s="62">
        <v>0</v>
      </c>
      <c r="K114" s="62">
        <v>0</v>
      </c>
      <c r="L114" s="62">
        <v>0</v>
      </c>
      <c r="M114" s="62"/>
      <c r="N114" s="62">
        <v>0</v>
      </c>
      <c r="O114" s="62">
        <v>0</v>
      </c>
      <c r="P114" s="62">
        <v>0</v>
      </c>
      <c r="Q114" s="2" t="s">
        <v>559</v>
      </c>
    </row>
  </sheetData>
  <sortState ref="A5:E55">
    <sortCondition ref="A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13" workbookViewId="0">
      <selection activeCell="M1" sqref="M1:M49"/>
    </sheetView>
  </sheetViews>
  <sheetFormatPr defaultRowHeight="15" x14ac:dyDescent="0.25"/>
  <cols>
    <col min="1" max="1" width="12.85546875" bestFit="1" customWidth="1"/>
    <col min="2" max="2" width="8" bestFit="1" customWidth="1"/>
    <col min="3" max="3" width="9" bestFit="1" customWidth="1"/>
    <col min="4" max="4" width="6.85546875" bestFit="1" customWidth="1"/>
    <col min="5" max="5" width="11.5703125" bestFit="1" customWidth="1"/>
    <col min="6" max="6" width="16.7109375" bestFit="1" customWidth="1"/>
    <col min="7" max="7" width="15.42578125" bestFit="1" customWidth="1"/>
    <col min="8" max="8" width="12.5703125" bestFit="1" customWidth="1"/>
    <col min="9" max="9" width="5.28515625" bestFit="1" customWidth="1"/>
    <col min="10" max="10" width="9.7109375" bestFit="1" customWidth="1"/>
    <col min="11" max="11" width="5" bestFit="1" customWidth="1"/>
    <col min="12" max="12" width="17.42578125" bestFit="1" customWidth="1"/>
    <col min="13" max="13" width="18.5703125" bestFit="1" customWidth="1"/>
  </cols>
  <sheetData>
    <row r="1" spans="1:13" x14ac:dyDescent="0.25">
      <c r="A1" s="136" t="s">
        <v>400</v>
      </c>
      <c r="B1" s="57" t="s">
        <v>677</v>
      </c>
      <c r="C1" s="136" t="s">
        <v>678</v>
      </c>
      <c r="D1" s="57" t="s">
        <v>679</v>
      </c>
      <c r="E1" s="134" t="s">
        <v>401</v>
      </c>
      <c r="F1" s="57" t="s">
        <v>684</v>
      </c>
      <c r="G1" s="133" t="s">
        <v>685</v>
      </c>
      <c r="H1" s="136" t="s">
        <v>561</v>
      </c>
      <c r="I1" s="134" t="s">
        <v>450</v>
      </c>
      <c r="J1" s="135" t="s">
        <v>662</v>
      </c>
      <c r="K1" s="135" t="s">
        <v>426</v>
      </c>
      <c r="L1" s="136" t="s">
        <v>683</v>
      </c>
      <c r="M1" s="134" t="s">
        <v>492</v>
      </c>
    </row>
    <row r="2" spans="1:13" x14ac:dyDescent="0.25">
      <c r="A2" s="57" t="s">
        <v>402</v>
      </c>
      <c r="B2" s="57"/>
      <c r="C2" s="57"/>
      <c r="D2" s="57"/>
      <c r="E2" s="133" t="s">
        <v>402</v>
      </c>
      <c r="F2" s="136" t="s">
        <v>402</v>
      </c>
      <c r="G2" s="134" t="s">
        <v>402</v>
      </c>
      <c r="H2" s="57" t="s">
        <v>562</v>
      </c>
      <c r="I2" s="133" t="s">
        <v>366</v>
      </c>
      <c r="J2" s="133">
        <f>'Character Sheet'!E11</f>
        <v>0</v>
      </c>
      <c r="K2" s="133">
        <f>'Character Sheet'!D11</f>
        <v>0</v>
      </c>
      <c r="L2" s="57" t="str">
        <f>Loadout!B11</f>
        <v xml:space="preserve">Revolver </v>
      </c>
      <c r="M2" s="134" t="s">
        <v>493</v>
      </c>
    </row>
    <row r="3" spans="1:13" x14ac:dyDescent="0.25">
      <c r="A3" s="57" t="s">
        <v>403</v>
      </c>
      <c r="B3" s="57">
        <v>10</v>
      </c>
      <c r="C3" s="57">
        <v>4</v>
      </c>
      <c r="D3" s="57">
        <v>6</v>
      </c>
      <c r="E3" s="133" t="s">
        <v>414</v>
      </c>
      <c r="F3" s="57" t="s">
        <v>462</v>
      </c>
      <c r="G3" s="133" t="s">
        <v>484</v>
      </c>
      <c r="H3" s="57" t="s">
        <v>558</v>
      </c>
      <c r="I3" s="133" t="s">
        <v>367</v>
      </c>
      <c r="J3" s="133">
        <f>'Character Sheet'!E13</f>
        <v>0</v>
      </c>
      <c r="K3" s="133">
        <f>'Character Sheet'!D13</f>
        <v>0</v>
      </c>
      <c r="L3" s="57" t="str">
        <f>Loadout!B12</f>
        <v xml:space="preserve">Elite revolver </v>
      </c>
      <c r="M3" s="137" t="s">
        <v>494</v>
      </c>
    </row>
    <row r="4" spans="1:13" x14ac:dyDescent="0.25">
      <c r="A4" s="57" t="s">
        <v>404</v>
      </c>
      <c r="B4" s="57">
        <v>15</v>
      </c>
      <c r="C4" s="57">
        <v>6</v>
      </c>
      <c r="D4" s="57">
        <v>9</v>
      </c>
      <c r="E4" s="133" t="s">
        <v>415</v>
      </c>
      <c r="F4" s="57" t="s">
        <v>463</v>
      </c>
      <c r="G4" s="133" t="s">
        <v>485</v>
      </c>
      <c r="H4" s="57" t="s">
        <v>563</v>
      </c>
      <c r="I4" s="133" t="s">
        <v>368</v>
      </c>
      <c r="J4" s="133">
        <f>'Character Sheet'!E15</f>
        <v>0</v>
      </c>
      <c r="K4" s="133">
        <f>'Character Sheet'!D15</f>
        <v>0</v>
      </c>
      <c r="L4" s="57" t="str">
        <f>Loadout!B13</f>
        <v>SELECT</v>
      </c>
      <c r="M4" s="137" t="s">
        <v>495</v>
      </c>
    </row>
    <row r="5" spans="1:13" x14ac:dyDescent="0.25">
      <c r="A5" s="57" t="s">
        <v>405</v>
      </c>
      <c r="B5" s="57">
        <v>12</v>
      </c>
      <c r="C5" s="57">
        <v>5</v>
      </c>
      <c r="D5" s="57">
        <v>6</v>
      </c>
      <c r="E5" s="133" t="s">
        <v>416</v>
      </c>
      <c r="F5" s="57" t="s">
        <v>464</v>
      </c>
      <c r="G5" s="133" t="s">
        <v>486</v>
      </c>
      <c r="H5" s="57" t="s">
        <v>564</v>
      </c>
      <c r="I5" s="133" t="s">
        <v>369</v>
      </c>
      <c r="J5" s="133">
        <f>'Character Sheet'!E20</f>
        <v>0</v>
      </c>
      <c r="K5" s="133">
        <f>'Character Sheet'!D20</f>
        <v>0</v>
      </c>
      <c r="L5" s="57" t="str">
        <f>Loadout!B14</f>
        <v>SELECT</v>
      </c>
      <c r="M5" s="137" t="s">
        <v>496</v>
      </c>
    </row>
    <row r="6" spans="1:13" x14ac:dyDescent="0.25">
      <c r="A6" s="57" t="s">
        <v>406</v>
      </c>
      <c r="B6" s="57">
        <v>15</v>
      </c>
      <c r="C6" s="57">
        <v>6</v>
      </c>
      <c r="D6" s="57">
        <v>9</v>
      </c>
      <c r="E6" s="133" t="s">
        <v>417</v>
      </c>
      <c r="F6" s="57" t="s">
        <v>465</v>
      </c>
      <c r="G6" s="133" t="s">
        <v>487</v>
      </c>
      <c r="H6" s="57" t="s">
        <v>565</v>
      </c>
      <c r="I6" s="133" t="s">
        <v>370</v>
      </c>
      <c r="J6" s="133">
        <f>'Character Sheet'!E28</f>
        <v>0</v>
      </c>
      <c r="K6" s="133">
        <f>'Character Sheet'!D28</f>
        <v>0</v>
      </c>
      <c r="L6" s="57" t="str">
        <f>Loadout!B15</f>
        <v>SELECT</v>
      </c>
      <c r="M6" s="137" t="s">
        <v>497</v>
      </c>
    </row>
    <row r="7" spans="1:13" x14ac:dyDescent="0.25">
      <c r="A7" s="57" t="s">
        <v>407</v>
      </c>
      <c r="B7" s="57">
        <v>12</v>
      </c>
      <c r="C7" s="57">
        <v>5</v>
      </c>
      <c r="D7" s="57">
        <v>8</v>
      </c>
      <c r="E7" s="133" t="s">
        <v>418</v>
      </c>
      <c r="F7" s="57" t="s">
        <v>466</v>
      </c>
      <c r="G7" s="133" t="s">
        <v>488</v>
      </c>
      <c r="H7" s="57" t="s">
        <v>566</v>
      </c>
      <c r="I7" s="133" t="s">
        <v>371</v>
      </c>
      <c r="J7" s="133">
        <f>'Character Sheet'!E34</f>
        <v>0</v>
      </c>
      <c r="K7" s="133">
        <f>'Character Sheet'!D34</f>
        <v>0</v>
      </c>
      <c r="L7" s="57" t="str">
        <f>Loadout!B16</f>
        <v>SELECT</v>
      </c>
      <c r="M7" s="137" t="s">
        <v>498</v>
      </c>
    </row>
    <row r="8" spans="1:13" x14ac:dyDescent="0.25">
      <c r="A8" s="57" t="s">
        <v>408</v>
      </c>
      <c r="B8" s="57">
        <v>15</v>
      </c>
      <c r="C8" s="57">
        <v>5</v>
      </c>
      <c r="D8" s="57">
        <v>8</v>
      </c>
      <c r="E8" s="133" t="s">
        <v>419</v>
      </c>
      <c r="F8" s="57" t="s">
        <v>467</v>
      </c>
      <c r="H8" s="57" t="s">
        <v>567</v>
      </c>
      <c r="M8" s="137" t="s">
        <v>499</v>
      </c>
    </row>
    <row r="9" spans="1:13" x14ac:dyDescent="0.25">
      <c r="A9" s="57" t="s">
        <v>409</v>
      </c>
      <c r="B9" s="57">
        <v>12</v>
      </c>
      <c r="C9" s="57">
        <v>5</v>
      </c>
      <c r="D9" s="57">
        <v>7</v>
      </c>
      <c r="E9" s="133" t="s">
        <v>420</v>
      </c>
      <c r="F9" s="57" t="s">
        <v>468</v>
      </c>
      <c r="H9" s="57" t="s">
        <v>568</v>
      </c>
      <c r="M9" s="137" t="s">
        <v>500</v>
      </c>
    </row>
    <row r="10" spans="1:13" x14ac:dyDescent="0.25">
      <c r="A10" s="57" t="s">
        <v>410</v>
      </c>
      <c r="B10" s="57">
        <v>12</v>
      </c>
      <c r="C10" s="57">
        <v>5</v>
      </c>
      <c r="D10" s="57">
        <v>6</v>
      </c>
      <c r="F10" s="57" t="s">
        <v>469</v>
      </c>
      <c r="M10" s="138" t="s">
        <v>501</v>
      </c>
    </row>
    <row r="11" spans="1:13" x14ac:dyDescent="0.25">
      <c r="A11" s="57" t="s">
        <v>411</v>
      </c>
      <c r="B11" s="57">
        <v>10</v>
      </c>
      <c r="C11" s="57">
        <v>4</v>
      </c>
      <c r="D11" s="57">
        <v>8</v>
      </c>
      <c r="F11" s="57" t="s">
        <v>470</v>
      </c>
      <c r="M11" s="137" t="s">
        <v>502</v>
      </c>
    </row>
    <row r="12" spans="1:13" x14ac:dyDescent="0.25">
      <c r="A12" s="57" t="s">
        <v>412</v>
      </c>
      <c r="B12" s="57">
        <v>10</v>
      </c>
      <c r="C12" s="57">
        <v>4</v>
      </c>
      <c r="D12" s="57">
        <v>8</v>
      </c>
      <c r="F12" s="57" t="s">
        <v>471</v>
      </c>
      <c r="M12" s="137" t="s">
        <v>503</v>
      </c>
    </row>
    <row r="13" spans="1:13" x14ac:dyDescent="0.25">
      <c r="A13" s="57" t="s">
        <v>413</v>
      </c>
      <c r="B13" s="57">
        <v>15</v>
      </c>
      <c r="C13" s="57">
        <v>6</v>
      </c>
      <c r="D13" s="57">
        <v>9</v>
      </c>
      <c r="F13" s="57" t="s">
        <v>472</v>
      </c>
      <c r="M13" s="137" t="s">
        <v>504</v>
      </c>
    </row>
    <row r="14" spans="1:13" x14ac:dyDescent="0.25">
      <c r="F14" s="57" t="s">
        <v>473</v>
      </c>
      <c r="M14" s="137" t="s">
        <v>505</v>
      </c>
    </row>
    <row r="15" spans="1:13" x14ac:dyDescent="0.25">
      <c r="F15" s="57" t="s">
        <v>474</v>
      </c>
      <c r="M15" s="137" t="s">
        <v>506</v>
      </c>
    </row>
    <row r="16" spans="1:13" x14ac:dyDescent="0.25">
      <c r="F16" s="57" t="s">
        <v>475</v>
      </c>
      <c r="M16" s="137" t="s">
        <v>507</v>
      </c>
    </row>
    <row r="17" spans="6:13" x14ac:dyDescent="0.25">
      <c r="F17" s="57" t="s">
        <v>476</v>
      </c>
      <c r="M17" s="137" t="s">
        <v>508</v>
      </c>
    </row>
    <row r="18" spans="6:13" x14ac:dyDescent="0.25">
      <c r="F18" s="57" t="s">
        <v>477</v>
      </c>
      <c r="M18" s="137" t="s">
        <v>509</v>
      </c>
    </row>
    <row r="19" spans="6:13" x14ac:dyDescent="0.25">
      <c r="F19" s="57" t="s">
        <v>478</v>
      </c>
      <c r="M19" s="138" t="s">
        <v>510</v>
      </c>
    </row>
    <row r="20" spans="6:13" x14ac:dyDescent="0.25">
      <c r="F20" s="57" t="s">
        <v>479</v>
      </c>
      <c r="M20" s="137" t="s">
        <v>511</v>
      </c>
    </row>
    <row r="21" spans="6:13" x14ac:dyDescent="0.25">
      <c r="F21" s="57" t="s">
        <v>480</v>
      </c>
      <c r="M21" s="137" t="s">
        <v>512</v>
      </c>
    </row>
    <row r="22" spans="6:13" x14ac:dyDescent="0.25">
      <c r="F22" s="57" t="s">
        <v>481</v>
      </c>
      <c r="M22" s="137" t="s">
        <v>513</v>
      </c>
    </row>
    <row r="23" spans="6:13" x14ac:dyDescent="0.25">
      <c r="F23" s="57" t="s">
        <v>482</v>
      </c>
      <c r="M23" s="137" t="s">
        <v>514</v>
      </c>
    </row>
    <row r="24" spans="6:13" x14ac:dyDescent="0.25">
      <c r="F24" s="57" t="s">
        <v>483</v>
      </c>
      <c r="M24" s="137" t="s">
        <v>515</v>
      </c>
    </row>
    <row r="25" spans="6:13" x14ac:dyDescent="0.25">
      <c r="M25" s="137" t="s">
        <v>516</v>
      </c>
    </row>
    <row r="26" spans="6:13" x14ac:dyDescent="0.25">
      <c r="M26" s="137" t="s">
        <v>517</v>
      </c>
    </row>
    <row r="27" spans="6:13" x14ac:dyDescent="0.25">
      <c r="M27" s="137" t="s">
        <v>518</v>
      </c>
    </row>
    <row r="28" spans="6:13" x14ac:dyDescent="0.25">
      <c r="M28" s="137" t="s">
        <v>519</v>
      </c>
    </row>
    <row r="29" spans="6:13" x14ac:dyDescent="0.25">
      <c r="M29" s="137" t="s">
        <v>520</v>
      </c>
    </row>
    <row r="30" spans="6:13" x14ac:dyDescent="0.25">
      <c r="M30" s="137" t="s">
        <v>521</v>
      </c>
    </row>
    <row r="31" spans="6:13" x14ac:dyDescent="0.25">
      <c r="M31" s="137" t="s">
        <v>522</v>
      </c>
    </row>
    <row r="32" spans="6:13" x14ac:dyDescent="0.25">
      <c r="M32" s="137" t="s">
        <v>523</v>
      </c>
    </row>
    <row r="33" spans="13:13" x14ac:dyDescent="0.25">
      <c r="M33" s="137" t="s">
        <v>524</v>
      </c>
    </row>
    <row r="34" spans="13:13" x14ac:dyDescent="0.25">
      <c r="M34" s="137" t="s">
        <v>525</v>
      </c>
    </row>
    <row r="35" spans="13:13" x14ac:dyDescent="0.25">
      <c r="M35" s="137" t="s">
        <v>526</v>
      </c>
    </row>
    <row r="36" spans="13:13" x14ac:dyDescent="0.25">
      <c r="M36" s="137" t="s">
        <v>527</v>
      </c>
    </row>
    <row r="37" spans="13:13" x14ac:dyDescent="0.25">
      <c r="M37" s="137" t="s">
        <v>528</v>
      </c>
    </row>
    <row r="38" spans="13:13" x14ac:dyDescent="0.25">
      <c r="M38" s="137" t="s">
        <v>529</v>
      </c>
    </row>
    <row r="39" spans="13:13" x14ac:dyDescent="0.25">
      <c r="M39" s="137" t="s">
        <v>530</v>
      </c>
    </row>
    <row r="40" spans="13:13" x14ac:dyDescent="0.25">
      <c r="M40" s="137" t="s">
        <v>531</v>
      </c>
    </row>
    <row r="41" spans="13:13" x14ac:dyDescent="0.25">
      <c r="M41" s="137" t="s">
        <v>532</v>
      </c>
    </row>
    <row r="42" spans="13:13" x14ac:dyDescent="0.25">
      <c r="M42" s="137" t="s">
        <v>533</v>
      </c>
    </row>
    <row r="43" spans="13:13" x14ac:dyDescent="0.25">
      <c r="M43" s="137" t="s">
        <v>534</v>
      </c>
    </row>
    <row r="44" spans="13:13" x14ac:dyDescent="0.25">
      <c r="M44" s="137" t="s">
        <v>535</v>
      </c>
    </row>
    <row r="45" spans="13:13" x14ac:dyDescent="0.25">
      <c r="M45" s="137" t="s">
        <v>536</v>
      </c>
    </row>
    <row r="46" spans="13:13" x14ac:dyDescent="0.25">
      <c r="M46" s="137" t="s">
        <v>537</v>
      </c>
    </row>
    <row r="47" spans="13:13" x14ac:dyDescent="0.25">
      <c r="M47" s="137" t="s">
        <v>538</v>
      </c>
    </row>
    <row r="48" spans="13:13" x14ac:dyDescent="0.25">
      <c r="M48" s="137" t="s">
        <v>539</v>
      </c>
    </row>
    <row r="49" spans="13:13" x14ac:dyDescent="0.25">
      <c r="M49" s="137" t="s">
        <v>540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690</v>
      </c>
    </row>
    <row r="2" spans="1:1" x14ac:dyDescent="0.25">
      <c r="A2" t="s">
        <v>691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E12" sqref="E12"/>
    </sheetView>
  </sheetViews>
  <sheetFormatPr defaultRowHeight="15" x14ac:dyDescent="0.25"/>
  <sheetData>
    <row r="1" spans="1:2" x14ac:dyDescent="0.25">
      <c r="A1" t="s">
        <v>542</v>
      </c>
    </row>
    <row r="2" spans="1:2" x14ac:dyDescent="0.25">
      <c r="A2" t="s">
        <v>543</v>
      </c>
      <c r="B2" s="51">
        <v>41082</v>
      </c>
    </row>
    <row r="3" spans="1:2" x14ac:dyDescent="0.25">
      <c r="B3" t="s">
        <v>555</v>
      </c>
    </row>
    <row r="4" spans="1:2" x14ac:dyDescent="0.25">
      <c r="A4" t="s">
        <v>686</v>
      </c>
    </row>
    <row r="5" spans="1:2" x14ac:dyDescent="0.25">
      <c r="B5" s="51" t="s">
        <v>687</v>
      </c>
    </row>
    <row r="6" spans="1:2" x14ac:dyDescent="0.25">
      <c r="B6" t="s">
        <v>688</v>
      </c>
    </row>
    <row r="7" spans="1:2" x14ac:dyDescent="0.25">
      <c r="B7" s="51" t="s">
        <v>689</v>
      </c>
    </row>
    <row r="8" spans="1:2" x14ac:dyDescent="0.25">
      <c r="B8" t="s">
        <v>692</v>
      </c>
    </row>
    <row r="9" spans="1:2" x14ac:dyDescent="0.25">
      <c r="A9" t="s">
        <v>694</v>
      </c>
      <c r="B9" s="170">
        <v>41431</v>
      </c>
    </row>
    <row r="10" spans="1:2" x14ac:dyDescent="0.25">
      <c r="B10" t="s">
        <v>695</v>
      </c>
    </row>
    <row r="11" spans="1:2" x14ac:dyDescent="0.25">
      <c r="B11" t="s">
        <v>696</v>
      </c>
    </row>
    <row r="12" spans="1:2" x14ac:dyDescent="0.25">
      <c r="B12" t="s">
        <v>697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Character Sheet</vt:lpstr>
      <vt:lpstr>Loadout</vt:lpstr>
      <vt:lpstr>Equipment</vt:lpstr>
      <vt:lpstr>Reference</vt:lpstr>
      <vt:lpstr>Instructions</vt:lpstr>
      <vt:lpstr>Version History</vt:lpstr>
      <vt:lpstr>Ability_Point_Arrays</vt:lpstr>
      <vt:lpstr>AmmoDetail</vt:lpstr>
      <vt:lpstr>AmmoList</vt:lpstr>
      <vt:lpstr>AmmoTypeDetail</vt:lpstr>
      <vt:lpstr>AmmoTypeList</vt:lpstr>
      <vt:lpstr>ARMORDETAIL</vt:lpstr>
      <vt:lpstr>ARMORLIST</vt:lpstr>
      <vt:lpstr>ClassDetail</vt:lpstr>
      <vt:lpstr>ClassList</vt:lpstr>
      <vt:lpstr>DamageStep</vt:lpstr>
      <vt:lpstr>EDList</vt:lpstr>
      <vt:lpstr>GEARDETAIL</vt:lpstr>
      <vt:lpstr>GEARLIST</vt:lpstr>
      <vt:lpstr>LadderList</vt:lpstr>
      <vt:lpstr>LISTLOOKUP</vt:lpstr>
      <vt:lpstr>nameLIST</vt:lpstr>
      <vt:lpstr>PPList</vt:lpstr>
      <vt:lpstr>'Character Sheet'!Print_Area</vt:lpstr>
      <vt:lpstr>Loadout!Print_Area</vt:lpstr>
      <vt:lpstr>SHIELDDETAIL</vt:lpstr>
      <vt:lpstr>SHIELDLIST</vt:lpstr>
      <vt:lpstr>StatDetail</vt:lpstr>
      <vt:lpstr>StatList</vt:lpstr>
      <vt:lpstr>WeaponWieldList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2013-06-06T21:14:26Z</dcterms:modified>
</cp:coreProperties>
</file>