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sham\Downloads\"/>
    </mc:Choice>
  </mc:AlternateContent>
  <bookViews>
    <workbookView xWindow="0" yWindow="0" windowWidth="20490" windowHeight="7755" activeTab="1"/>
  </bookViews>
  <sheets>
    <sheet name="Assignment" sheetId="7" r:id="rId1"/>
    <sheet name="الاستعلام1" sheetId="8" r:id="rId2"/>
    <sheet name="ورقة1" sheetId="9" r:id="rId3"/>
    <sheet name="المكشفين " sheetId="1" r:id="rId4"/>
    <sheet name="المراجعين" sheetId="2" r:id="rId5"/>
    <sheet name="Sheet6" sheetId="3" state="hidden" r:id="rId6"/>
    <sheet name="المشرفين" sheetId="4" r:id="rId7"/>
    <sheet name="المستقيلين و المستبعدين" sheetId="5" r:id="rId8"/>
    <sheet name="المعارين" sheetId="6" r:id="rId9"/>
  </sheets>
  <definedNames>
    <definedName name="_xlnm._FilterDatabase" localSheetId="7" hidden="1">'المستقيلين و المستبعدين'!$B$1:$I$50</definedName>
    <definedName name="ExternalData_1" localSheetId="1" hidden="1">الاستعلام1!$A$1:$J$251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8" l="1"/>
  <c r="M3" i="8" s="1"/>
  <c r="M4" i="8" s="1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A4" i="1"/>
  <c r="A108" i="1"/>
  <c r="A76" i="2"/>
  <c r="D154" i="1"/>
  <c r="G130" i="1"/>
  <c r="E122" i="1"/>
  <c r="G121" i="1"/>
  <c r="C114" i="1"/>
  <c r="A21" i="1"/>
  <c r="A149" i="1"/>
  <c r="A75" i="2"/>
  <c r="E171" i="1"/>
  <c r="E111" i="1"/>
  <c r="H102" i="1"/>
  <c r="G98" i="1"/>
  <c r="E96" i="1"/>
  <c r="A38" i="1"/>
  <c r="A166" i="1"/>
  <c r="A16" i="2"/>
  <c r="D158" i="1"/>
  <c r="C98" i="1"/>
  <c r="E89" i="1"/>
  <c r="C89" i="1"/>
  <c r="H136" i="1"/>
  <c r="A63" i="1"/>
  <c r="A78" i="2"/>
  <c r="F167" i="1"/>
  <c r="C169" i="1"/>
  <c r="G146" i="1"/>
  <c r="D132" i="1"/>
  <c r="G137" i="1"/>
  <c r="C62" i="1"/>
  <c r="A20" i="1"/>
  <c r="A148" i="1"/>
  <c r="D181" i="1"/>
  <c r="F184" i="1"/>
  <c r="A109" i="2"/>
  <c r="H148" i="1"/>
  <c r="E159" i="1"/>
  <c r="B76" i="1"/>
  <c r="A61" i="1"/>
  <c r="A86" i="2"/>
  <c r="H160" i="1"/>
  <c r="D162" i="1"/>
  <c r="B137" i="1"/>
  <c r="D126" i="1"/>
  <c r="F131" i="1"/>
  <c r="C54" i="1"/>
  <c r="A78" i="1"/>
  <c r="D3" i="2"/>
  <c r="D150" i="1"/>
  <c r="F153" i="1"/>
  <c r="G128" i="1"/>
  <c r="H117" i="1"/>
  <c r="B122" i="1"/>
  <c r="C42" i="1"/>
  <c r="A103" i="1"/>
  <c r="F6" i="2"/>
  <c r="B159" i="1"/>
  <c r="C164" i="1"/>
  <c r="D103" i="1"/>
  <c r="A28" i="1"/>
  <c r="A19" i="2"/>
  <c r="G138" i="1"/>
  <c r="G129" i="1"/>
  <c r="A13" i="1"/>
  <c r="A113" i="2"/>
  <c r="C121" i="1"/>
  <c r="E110" i="1"/>
  <c r="A30" i="1"/>
  <c r="A71" i="2"/>
  <c r="E109" i="1"/>
  <c r="C97" i="1"/>
  <c r="A55" i="1"/>
  <c r="C177" i="1"/>
  <c r="E177" i="1"/>
  <c r="E106" i="1"/>
  <c r="E51" i="1"/>
  <c r="A120" i="1"/>
  <c r="E6" i="2"/>
  <c r="G171" i="1"/>
  <c r="D144" i="1"/>
  <c r="B144" i="1"/>
  <c r="G133" i="1"/>
  <c r="E137" i="1"/>
  <c r="A9" i="1"/>
  <c r="A137" i="1"/>
  <c r="A41" i="2"/>
  <c r="F160" i="1"/>
  <c r="C133" i="1"/>
  <c r="E128" i="1"/>
  <c r="C124" i="1"/>
  <c r="E119" i="1"/>
  <c r="A60" i="1"/>
  <c r="H173" i="1"/>
  <c r="H114" i="1"/>
  <c r="D108" i="1"/>
  <c r="A101" i="1"/>
  <c r="C150" i="1"/>
  <c r="F95" i="1"/>
  <c r="B87" i="1"/>
  <c r="A118" i="1"/>
  <c r="C183" i="1"/>
  <c r="G85" i="1"/>
  <c r="H156" i="1"/>
  <c r="A143" i="1"/>
  <c r="H151" i="1"/>
  <c r="E116" i="1"/>
  <c r="F121" i="1"/>
  <c r="A16" i="1"/>
  <c r="A160" i="1"/>
  <c r="C6" i="2"/>
  <c r="D156" i="1"/>
  <c r="C96" i="1"/>
  <c r="B86" i="1"/>
  <c r="C87" i="1"/>
  <c r="H120" i="1"/>
  <c r="A49" i="1"/>
  <c r="A177" i="1"/>
  <c r="A12" i="2"/>
  <c r="A28" i="2"/>
  <c r="G87" i="1"/>
  <c r="B160" i="1"/>
  <c r="E170" i="1"/>
  <c r="C79" i="1"/>
  <c r="A132" i="1"/>
  <c r="E162" i="1"/>
  <c r="A12" i="1"/>
  <c r="A140" i="1"/>
  <c r="A32" i="2"/>
  <c r="G151" i="1"/>
  <c r="B92" i="1"/>
  <c r="C182" i="1"/>
  <c r="A73" i="2"/>
  <c r="D94" i="1"/>
  <c r="A53" i="1"/>
  <c r="A181" i="1"/>
  <c r="G169" i="1"/>
  <c r="D171" i="1"/>
  <c r="G150" i="1"/>
  <c r="D134" i="1"/>
  <c r="H139" i="1"/>
  <c r="H64" i="1"/>
  <c r="A70" i="1"/>
  <c r="A38" i="2"/>
  <c r="C159" i="1"/>
  <c r="H161" i="1"/>
  <c r="F136" i="1"/>
  <c r="H125" i="1"/>
  <c r="B130" i="1"/>
  <c r="G52" i="1"/>
  <c r="A95" i="1"/>
  <c r="A59" i="2"/>
  <c r="B170" i="1"/>
  <c r="G175" i="1"/>
  <c r="D111" i="1"/>
  <c r="C99" i="1"/>
  <c r="H105" i="1"/>
  <c r="H130" i="1"/>
  <c r="A52" i="1"/>
  <c r="A180" i="1"/>
  <c r="H182" i="1"/>
  <c r="B6" i="2"/>
  <c r="F122" i="1"/>
  <c r="F110" i="1"/>
  <c r="B116" i="1"/>
  <c r="C34" i="1"/>
  <c r="A93" i="1"/>
  <c r="A11" i="2"/>
  <c r="C161" i="1"/>
  <c r="E168" i="1"/>
  <c r="D105" i="1"/>
  <c r="C93" i="1"/>
  <c r="B97" i="1"/>
  <c r="F83" i="1"/>
  <c r="A110" i="1"/>
  <c r="A100" i="2"/>
  <c r="H149" i="1"/>
  <c r="F157" i="1"/>
  <c r="B94" i="1"/>
  <c r="B182" i="1"/>
  <c r="G86" i="1"/>
  <c r="A7" i="1"/>
  <c r="A135" i="1"/>
  <c r="A57" i="2"/>
  <c r="F162" i="1"/>
  <c r="C135" i="1"/>
  <c r="E132" i="1"/>
  <c r="A36" i="1"/>
  <c r="D161" i="1"/>
  <c r="F138" i="1"/>
  <c r="B132" i="1"/>
  <c r="A77" i="1"/>
  <c r="C181" i="1"/>
  <c r="B121" i="1"/>
  <c r="G115" i="1"/>
  <c r="A94" i="1"/>
  <c r="H171" i="1"/>
  <c r="H112" i="1"/>
  <c r="D106" i="1"/>
  <c r="A119" i="1"/>
  <c r="G182" i="1"/>
  <c r="A104" i="2"/>
  <c r="F129" i="1"/>
  <c r="A8" i="1"/>
  <c r="A152" i="1"/>
  <c r="A63" i="2"/>
  <c r="C167" i="1"/>
  <c r="E105" i="1"/>
  <c r="D99" i="1"/>
  <c r="C95" i="1"/>
  <c r="H91" i="1"/>
  <c r="A41" i="1"/>
  <c r="A169" i="1"/>
  <c r="C5" i="2"/>
  <c r="C154" i="1"/>
  <c r="G95" i="1"/>
  <c r="F85" i="1"/>
  <c r="H86" i="1"/>
  <c r="E115" i="1"/>
  <c r="A124" i="1"/>
  <c r="B172" i="1"/>
  <c r="C103" i="1"/>
  <c r="E98" i="1"/>
  <c r="A165" i="1"/>
  <c r="D149" i="1"/>
  <c r="F179" i="1"/>
  <c r="B84" i="1"/>
  <c r="A182" i="1"/>
  <c r="D180" i="1"/>
  <c r="H145" i="1"/>
  <c r="D74" i="1"/>
  <c r="B2" i="2"/>
  <c r="B152" i="1"/>
  <c r="D116" i="1"/>
  <c r="B151" i="1"/>
  <c r="A64" i="1"/>
  <c r="A74" i="2"/>
  <c r="C157" i="1"/>
  <c r="H159" i="1"/>
  <c r="F134" i="1"/>
  <c r="H123" i="1"/>
  <c r="B128" i="1"/>
  <c r="G50" i="1"/>
  <c r="A81" i="1"/>
  <c r="A110" i="2"/>
  <c r="G4" i="2"/>
  <c r="A112" i="2"/>
  <c r="B125" i="1"/>
  <c r="B113" i="1"/>
  <c r="F119" i="1"/>
  <c r="C38" i="1"/>
  <c r="A54" i="2"/>
  <c r="B169" i="1"/>
  <c r="A172" i="1"/>
  <c r="H155" i="1"/>
  <c r="H119" i="1"/>
  <c r="E45" i="1"/>
  <c r="A45" i="2"/>
  <c r="F177" i="1"/>
  <c r="C101" i="1"/>
  <c r="D147" i="1"/>
  <c r="F7" i="2"/>
  <c r="E166" i="1"/>
  <c r="G92" i="1"/>
  <c r="C82" i="1"/>
  <c r="E7" i="2"/>
  <c r="H146" i="1"/>
  <c r="C134" i="1"/>
  <c r="A24" i="1"/>
  <c r="A53" i="2"/>
  <c r="G148" i="1"/>
  <c r="G154" i="1"/>
  <c r="H67" i="1"/>
  <c r="A1" i="3"/>
  <c r="C137" i="1"/>
  <c r="C128" i="1"/>
  <c r="A14" i="1"/>
  <c r="D7" i="2"/>
  <c r="H128" i="1"/>
  <c r="G119" i="1"/>
  <c r="A39" i="1"/>
  <c r="C7" i="2"/>
  <c r="G97" i="1"/>
  <c r="A100" i="1"/>
  <c r="E138" i="1"/>
  <c r="A141" i="1"/>
  <c r="G110" i="1"/>
  <c r="A158" i="1"/>
  <c r="D101" i="1"/>
  <c r="A183" i="1"/>
  <c r="D143" i="1"/>
  <c r="A48" i="1"/>
  <c r="B166" i="1"/>
  <c r="C144" i="1"/>
  <c r="B136" i="1"/>
  <c r="A73" i="1"/>
  <c r="G156" i="1"/>
  <c r="B133" i="1"/>
  <c r="F127" i="1"/>
  <c r="A90" i="2"/>
  <c r="G102" i="1"/>
  <c r="A107" i="2"/>
  <c r="B5" i="2"/>
  <c r="A68" i="2"/>
  <c r="B146" i="1"/>
  <c r="D6" i="2"/>
  <c r="G145" i="1"/>
  <c r="A96" i="1"/>
  <c r="F158" i="1"/>
  <c r="E101" i="1"/>
  <c r="F94" i="1"/>
  <c r="A113" i="1"/>
  <c r="A65" i="2"/>
  <c r="B90" i="1"/>
  <c r="E181" i="1"/>
  <c r="A79" i="2"/>
  <c r="H92" i="1"/>
  <c r="B85" i="1"/>
  <c r="A173" i="1"/>
  <c r="E182" i="1"/>
  <c r="C146" i="1"/>
  <c r="G75" i="1"/>
  <c r="A82" i="2"/>
  <c r="H170" i="1"/>
  <c r="H133" i="1"/>
  <c r="E63" i="1"/>
  <c r="A29" i="2"/>
  <c r="H183" i="1"/>
  <c r="B107" i="1"/>
  <c r="E123" i="1"/>
  <c r="A72" i="1"/>
  <c r="A22" i="2"/>
  <c r="A8" i="2"/>
  <c r="E151" i="1"/>
  <c r="F126" i="1"/>
  <c r="F114" i="1"/>
  <c r="B120" i="1"/>
  <c r="G40" i="1"/>
  <c r="A89" i="1"/>
  <c r="A13" i="2"/>
  <c r="B177" i="1"/>
  <c r="H181" i="1"/>
  <c r="B117" i="1"/>
  <c r="B105" i="1"/>
  <c r="H111" i="1"/>
  <c r="G28" i="1"/>
  <c r="A2" i="2"/>
  <c r="C153" i="1"/>
  <c r="H137" i="1"/>
  <c r="A5" i="1"/>
  <c r="A9" i="2"/>
  <c r="C129" i="1"/>
  <c r="C120" i="1"/>
  <c r="A22" i="1"/>
  <c r="A105" i="2"/>
  <c r="G120" i="1"/>
  <c r="E108" i="1"/>
  <c r="A47" i="1"/>
  <c r="A69" i="2"/>
  <c r="G89" i="1"/>
  <c r="C118" i="1"/>
  <c r="F72" i="1"/>
  <c r="A112" i="1"/>
  <c r="A58" i="2"/>
  <c r="B181" i="1"/>
  <c r="F172" i="1"/>
  <c r="A15" i="2"/>
  <c r="C143" i="1"/>
  <c r="C149" i="1"/>
  <c r="B62" i="1"/>
  <c r="A129" i="1"/>
  <c r="E5" i="2"/>
  <c r="E169" i="1"/>
  <c r="B142" i="1"/>
  <c r="G143" i="1"/>
  <c r="C132" i="1"/>
  <c r="E135" i="1"/>
  <c r="A10" i="1"/>
  <c r="G153" i="1"/>
  <c r="B110" i="1"/>
  <c r="C80" i="1"/>
  <c r="A5" i="2"/>
  <c r="G159" i="1"/>
  <c r="E85" i="1"/>
  <c r="F75" i="1"/>
  <c r="A18" i="2"/>
  <c r="H150" i="1"/>
  <c r="C136" i="1"/>
  <c r="A6" i="1"/>
  <c r="A106" i="2"/>
  <c r="G136" i="1"/>
  <c r="G127" i="1"/>
  <c r="A31" i="1"/>
  <c r="A67" i="2"/>
  <c r="E107" i="1"/>
  <c r="G96" i="1"/>
  <c r="A56" i="1"/>
  <c r="A26" i="2"/>
  <c r="G122" i="1"/>
  <c r="E112" i="1"/>
  <c r="A29" i="1"/>
  <c r="A24" i="2"/>
  <c r="F99" i="1"/>
  <c r="G90" i="1"/>
  <c r="A46" i="1"/>
  <c r="A85" i="2"/>
  <c r="C90" i="1"/>
  <c r="D184" i="1"/>
  <c r="A71" i="1"/>
  <c r="G158" i="1"/>
  <c r="B135" i="1"/>
  <c r="A164" i="1"/>
  <c r="H127" i="1"/>
  <c r="F4" i="2"/>
  <c r="B109" i="1"/>
  <c r="A108" i="2"/>
  <c r="G100" i="1"/>
  <c r="A64" i="2"/>
  <c r="E179" i="1"/>
  <c r="A88" i="1"/>
  <c r="F169" i="1"/>
  <c r="H110" i="1"/>
  <c r="D104" i="1"/>
  <c r="A105" i="1"/>
  <c r="B157" i="1"/>
  <c r="E99" i="1"/>
  <c r="E92" i="1"/>
  <c r="A17" i="2"/>
  <c r="B99" i="1"/>
  <c r="A101" i="2"/>
  <c r="B3" i="2"/>
  <c r="D179" i="1"/>
  <c r="G149" i="1"/>
  <c r="A39" i="2"/>
  <c r="G88" i="1"/>
  <c r="A128" i="1"/>
  <c r="B161" i="1"/>
  <c r="E130" i="1"/>
  <c r="E121" i="1"/>
  <c r="A145" i="1"/>
  <c r="A31" i="2"/>
  <c r="G114" i="1"/>
  <c r="G109" i="1"/>
  <c r="G162" i="1"/>
  <c r="H94" i="1"/>
  <c r="D88" i="1"/>
  <c r="A72" i="2"/>
  <c r="A47" i="2"/>
  <c r="D148" i="1"/>
  <c r="D66" i="1"/>
  <c r="A10" i="2"/>
  <c r="C147" i="1"/>
  <c r="G135" i="1"/>
  <c r="A23" i="1"/>
  <c r="A99" i="2"/>
  <c r="C119" i="1"/>
  <c r="C126" i="1"/>
  <c r="D82" i="1"/>
  <c r="A104" i="1"/>
  <c r="A92" i="2"/>
  <c r="A81" i="2"/>
  <c r="G155" i="1"/>
  <c r="E91" i="1"/>
  <c r="H176" i="1"/>
  <c r="C184" i="1"/>
  <c r="B71" i="1"/>
  <c r="A121" i="1"/>
  <c r="A50" i="2"/>
  <c r="F180" i="1"/>
  <c r="H169" i="1"/>
  <c r="D177" i="1"/>
  <c r="H142" i="1"/>
  <c r="B148" i="1"/>
  <c r="H61" i="1"/>
  <c r="C170" i="1"/>
  <c r="H152" i="1"/>
  <c r="C140" i="1"/>
  <c r="A69" i="1"/>
  <c r="F152" i="1"/>
  <c r="B129" i="1"/>
  <c r="F123" i="1"/>
  <c r="A86" i="1"/>
  <c r="G180" i="1"/>
  <c r="F120" i="1"/>
  <c r="D114" i="1"/>
  <c r="A111" i="1"/>
  <c r="A97" i="2"/>
  <c r="E93" i="1"/>
  <c r="C148" i="1"/>
  <c r="H81" i="1"/>
  <c r="A144" i="1"/>
  <c r="A95" i="2"/>
  <c r="H177" i="1"/>
  <c r="G118" i="1"/>
  <c r="C107" i="1"/>
  <c r="E104" i="1"/>
  <c r="D102" i="1"/>
  <c r="A33" i="1"/>
  <c r="A161" i="1"/>
  <c r="A56" i="2"/>
  <c r="G166" i="1"/>
  <c r="E103" i="1"/>
  <c r="E97" i="1"/>
  <c r="G94" i="1"/>
  <c r="E90" i="1"/>
  <c r="A42" i="1"/>
  <c r="C94" i="1"/>
  <c r="F52" i="1"/>
  <c r="A44" i="1"/>
  <c r="F130" i="1"/>
  <c r="A85" i="1"/>
  <c r="D113" i="1"/>
  <c r="A102" i="1"/>
  <c r="H104" i="1"/>
  <c r="A127" i="1"/>
  <c r="D146" i="1"/>
  <c r="A84" i="1"/>
  <c r="F87" i="1"/>
  <c r="A125" i="1"/>
  <c r="E136" i="1"/>
  <c r="A142" i="1"/>
  <c r="E118" i="1"/>
  <c r="A167" i="1"/>
  <c r="E87" i="1"/>
  <c r="E129" i="1"/>
  <c r="G105" i="1"/>
  <c r="E94" i="1"/>
  <c r="C85" i="1"/>
  <c r="G168" i="1"/>
  <c r="G60" i="1"/>
  <c r="C158" i="1"/>
  <c r="E49" i="1"/>
  <c r="B164" i="1"/>
  <c r="C74" i="1"/>
  <c r="A15" i="1"/>
  <c r="D131" i="1"/>
  <c r="G163" i="1"/>
  <c r="E80" i="1"/>
  <c r="E153" i="1"/>
  <c r="F70" i="1"/>
  <c r="B91" i="1"/>
  <c r="H180" i="1"/>
  <c r="C151" i="1"/>
  <c r="B168" i="1"/>
  <c r="B138" i="1"/>
  <c r="C179" i="1"/>
  <c r="G181" i="1"/>
  <c r="A136" i="1"/>
  <c r="B150" i="1"/>
  <c r="B115" i="1"/>
  <c r="C110" i="1"/>
  <c r="A153" i="1"/>
  <c r="D176" i="1"/>
  <c r="G106" i="1"/>
  <c r="H101" i="1"/>
  <c r="E176" i="1"/>
  <c r="H144" i="1"/>
  <c r="H153" i="1"/>
  <c r="G113" i="1"/>
  <c r="E180" i="1"/>
  <c r="C104" i="1"/>
  <c r="A77" i="2"/>
  <c r="B95" i="1"/>
  <c r="A176" i="1"/>
  <c r="C178" i="1"/>
  <c r="B141" i="1"/>
  <c r="C71" i="1"/>
  <c r="A70" i="2"/>
  <c r="B167" i="1"/>
  <c r="D130" i="1"/>
  <c r="E59" i="1"/>
  <c r="A89" i="2"/>
  <c r="F47" i="1"/>
  <c r="D39" i="1"/>
  <c r="E54" i="1"/>
  <c r="H5" i="1"/>
  <c r="F84" i="1"/>
  <c r="D2" i="2"/>
  <c r="H84" i="1"/>
  <c r="E50" i="1"/>
  <c r="G38" i="1"/>
  <c r="F37" i="1"/>
  <c r="D7" i="1"/>
  <c r="A91" i="1"/>
  <c r="G3" i="2"/>
  <c r="H115" i="1"/>
  <c r="C59" i="1"/>
  <c r="E47" i="1"/>
  <c r="D44" i="1"/>
  <c r="G6" i="1"/>
  <c r="G178" i="1"/>
  <c r="F49" i="1"/>
  <c r="G184" i="1"/>
  <c r="E77" i="1"/>
  <c r="B77" i="1"/>
  <c r="H68" i="1"/>
  <c r="H11" i="1"/>
  <c r="G8" i="1"/>
  <c r="B155" i="1"/>
  <c r="B126" i="1"/>
  <c r="E40" i="1"/>
  <c r="C28" i="1"/>
  <c r="D30" i="1"/>
  <c r="G33" i="1"/>
  <c r="C115" i="1"/>
  <c r="A75" i="1"/>
  <c r="B131" i="1"/>
  <c r="H43" i="1"/>
  <c r="H38" i="1"/>
  <c r="F30" i="1"/>
  <c r="F20" i="1"/>
  <c r="C22" i="1"/>
  <c r="A50" i="1"/>
  <c r="D86" i="1"/>
  <c r="F50" i="1"/>
  <c r="B45" i="1"/>
  <c r="H37" i="1"/>
  <c r="G41" i="1"/>
  <c r="E13" i="1"/>
  <c r="H42" i="1"/>
  <c r="A179" i="1"/>
  <c r="B111" i="1"/>
  <c r="H76" i="1"/>
  <c r="E69" i="1"/>
  <c r="F59" i="1"/>
  <c r="G77" i="1"/>
  <c r="G179" i="1"/>
  <c r="A154" i="1"/>
  <c r="C105" i="1"/>
  <c r="G183" i="1"/>
  <c r="F156" i="1"/>
  <c r="F90" i="1"/>
  <c r="C29" i="1"/>
  <c r="H122" i="1"/>
  <c r="F15" i="1"/>
  <c r="H14" i="1"/>
  <c r="H109" i="1"/>
  <c r="A107" i="1"/>
  <c r="F97" i="1"/>
  <c r="H35" i="1"/>
  <c r="H30" i="1"/>
  <c r="F105" i="1"/>
  <c r="C10" i="1"/>
  <c r="B14" i="1"/>
  <c r="A82" i="1"/>
  <c r="F124" i="1"/>
  <c r="B42" i="1"/>
  <c r="B37" i="1"/>
  <c r="H29" i="1"/>
  <c r="H19" i="1"/>
  <c r="F4" i="1"/>
  <c r="C75" i="1"/>
  <c r="A61" i="2"/>
  <c r="D157" i="1"/>
  <c r="G67" i="1"/>
  <c r="E57" i="1"/>
  <c r="F51" i="1"/>
  <c r="D23" i="1"/>
  <c r="G104" i="1"/>
  <c r="A98" i="2"/>
  <c r="D138" i="1"/>
  <c r="H87" i="1"/>
  <c r="G132" i="1"/>
  <c r="F60" i="1"/>
  <c r="B55" i="1"/>
  <c r="D47" i="1"/>
  <c r="D4" i="1"/>
  <c r="B11" i="1"/>
  <c r="D50" i="1"/>
  <c r="A25" i="2"/>
  <c r="C122" i="1"/>
  <c r="E60" i="1"/>
  <c r="G48" i="1"/>
  <c r="F45" i="1"/>
  <c r="H16" i="1"/>
  <c r="B22" i="1"/>
  <c r="A84" i="2"/>
  <c r="G165" i="1"/>
  <c r="C68" i="1"/>
  <c r="G58" i="1"/>
  <c r="H52" i="1"/>
  <c r="C15" i="1"/>
  <c r="C3" i="2"/>
  <c r="E74" i="1"/>
  <c r="G7" i="2"/>
  <c r="G107" i="1"/>
  <c r="H97" i="1"/>
  <c r="H77" i="1"/>
  <c r="G20" i="1"/>
  <c r="H34" i="1"/>
  <c r="D110" i="1"/>
  <c r="F43" i="1"/>
  <c r="D35" i="1"/>
  <c r="F17" i="1"/>
  <c r="D19" i="1"/>
  <c r="H58" i="1"/>
  <c r="B102" i="1"/>
  <c r="G68" i="1"/>
  <c r="G30" i="1"/>
  <c r="D93" i="1"/>
  <c r="E11" i="1"/>
  <c r="F18" i="1"/>
  <c r="F46" i="1"/>
  <c r="B139" i="1"/>
  <c r="C171" i="1"/>
  <c r="H21" i="1"/>
  <c r="B145" i="1"/>
  <c r="G170" i="1"/>
  <c r="D20" i="1"/>
  <c r="E82" i="1"/>
  <c r="D12" i="1"/>
  <c r="D174" i="1"/>
  <c r="G174" i="1"/>
  <c r="F67" i="1"/>
  <c r="H59" i="1"/>
  <c r="H4" i="1"/>
  <c r="D65" i="1"/>
  <c r="H39" i="1"/>
  <c r="A162" i="1"/>
  <c r="B73" i="1"/>
  <c r="F133" i="1"/>
  <c r="A40" i="2"/>
  <c r="B39" i="1"/>
  <c r="B31" i="1"/>
  <c r="H129" i="1"/>
  <c r="B18" i="1"/>
  <c r="A98" i="1"/>
  <c r="D137" i="1"/>
  <c r="G64" i="1"/>
  <c r="A99" i="1"/>
  <c r="E6" i="1"/>
  <c r="G142" i="1"/>
  <c r="F104" i="1"/>
  <c r="B59" i="1"/>
  <c r="H51" i="1"/>
  <c r="B78" i="1"/>
  <c r="E3" i="1"/>
  <c r="H65" i="1"/>
  <c r="A48" i="2"/>
  <c r="H40" i="1"/>
  <c r="D45" i="1"/>
  <c r="G164" i="1"/>
  <c r="E15" i="1"/>
  <c r="E18" i="1"/>
  <c r="B134" i="1"/>
  <c r="F16" i="1"/>
  <c r="A35" i="2"/>
  <c r="H56" i="1"/>
  <c r="F64" i="1"/>
  <c r="A27" i="2"/>
  <c r="F55" i="1"/>
  <c r="E53" i="1"/>
  <c r="D133" i="1"/>
  <c r="B81" i="1"/>
  <c r="A42" i="2"/>
  <c r="C66" i="1"/>
  <c r="G44" i="1"/>
  <c r="D42" i="1"/>
  <c r="A3" i="1"/>
  <c r="F173" i="1"/>
  <c r="F66" i="1"/>
  <c r="D83" i="1"/>
  <c r="C47" i="1"/>
  <c r="A76" i="1"/>
  <c r="B96" i="1"/>
  <c r="A117" i="1"/>
  <c r="C155" i="1"/>
  <c r="A134" i="1"/>
  <c r="E134" i="1"/>
  <c r="A159" i="1"/>
  <c r="H100" i="1"/>
  <c r="A116" i="1"/>
  <c r="C111" i="1"/>
  <c r="A157" i="1"/>
  <c r="D91" i="1"/>
  <c r="A174" i="1"/>
  <c r="B171" i="1"/>
  <c r="A30" i="2"/>
  <c r="D124" i="1"/>
  <c r="E55" i="1"/>
  <c r="E33" i="1"/>
  <c r="H141" i="1"/>
  <c r="G103" i="1"/>
  <c r="D173" i="1"/>
  <c r="D125" i="1"/>
  <c r="C162" i="1"/>
  <c r="B79" i="1"/>
  <c r="A37" i="1"/>
  <c r="A54" i="1"/>
  <c r="A79" i="1"/>
  <c r="E41" i="1"/>
  <c r="G134" i="1"/>
  <c r="A17" i="1"/>
  <c r="C125" i="1"/>
  <c r="A68" i="1"/>
  <c r="F98" i="1"/>
  <c r="H184" i="1"/>
  <c r="D159" i="1"/>
  <c r="G173" i="1"/>
  <c r="B140" i="1"/>
  <c r="D178" i="1"/>
  <c r="H113" i="1"/>
  <c r="A168" i="1"/>
  <c r="A60" i="2"/>
  <c r="H165" i="1"/>
  <c r="F80" i="1"/>
  <c r="A103" i="2"/>
  <c r="G177" i="1"/>
  <c r="G140" i="1"/>
  <c r="G70" i="1"/>
  <c r="E173" i="1"/>
  <c r="B65" i="1"/>
  <c r="B154" i="1"/>
  <c r="C44" i="1"/>
  <c r="E184" i="1"/>
  <c r="G32" i="1"/>
  <c r="B156" i="1"/>
  <c r="G111" i="1"/>
  <c r="A21" i="2"/>
  <c r="D182" i="1"/>
  <c r="F106" i="1"/>
  <c r="E29" i="1"/>
  <c r="A43" i="2"/>
  <c r="H172" i="1"/>
  <c r="D97" i="1"/>
  <c r="F109" i="1"/>
  <c r="D85" i="1"/>
  <c r="E81" i="1"/>
  <c r="D71" i="1"/>
  <c r="D9" i="1"/>
  <c r="D25" i="1"/>
  <c r="F41" i="1"/>
  <c r="C152" i="1"/>
  <c r="G99" i="1"/>
  <c r="H79" i="1"/>
  <c r="B70" i="1"/>
  <c r="B13" i="1"/>
  <c r="C20" i="1"/>
  <c r="B103" i="1"/>
  <c r="B7" i="2"/>
  <c r="C108" i="1"/>
  <c r="B108" i="1"/>
  <c r="C78" i="1"/>
  <c r="C21" i="1"/>
  <c r="E19" i="1"/>
  <c r="H99" i="1"/>
  <c r="A19" i="1"/>
  <c r="H85" i="1"/>
  <c r="D49" i="1"/>
  <c r="H44" i="1"/>
  <c r="B36" i="1"/>
  <c r="E34" i="1"/>
  <c r="F3" i="1"/>
  <c r="G157" i="1"/>
  <c r="C48" i="1"/>
  <c r="H71" i="1"/>
  <c r="H63" i="1"/>
  <c r="G5" i="1"/>
  <c r="D11" i="1"/>
  <c r="C33" i="1"/>
  <c r="A6" i="2"/>
  <c r="D120" i="1"/>
  <c r="F78" i="1"/>
  <c r="G71" i="1"/>
  <c r="B61" i="1"/>
  <c r="B106" i="1"/>
  <c r="E8" i="1"/>
  <c r="A178" i="1"/>
  <c r="E157" i="1"/>
  <c r="F103" i="1"/>
  <c r="G79" i="1"/>
  <c r="B69" i="1"/>
  <c r="F82" i="1"/>
  <c r="D90" i="1"/>
  <c r="F58" i="1"/>
  <c r="E183" i="1"/>
  <c r="F117" i="1"/>
  <c r="E36" i="1"/>
  <c r="D175" i="1"/>
  <c r="B27" i="1"/>
  <c r="G13" i="1"/>
  <c r="F161" i="1"/>
  <c r="A87" i="2"/>
  <c r="B101" i="1"/>
  <c r="E56" i="1"/>
  <c r="G161" i="1"/>
  <c r="G78" i="1"/>
  <c r="B63" i="1"/>
  <c r="H55" i="1"/>
  <c r="D17" i="1"/>
  <c r="G3" i="1"/>
  <c r="D75" i="1"/>
  <c r="G2" i="2"/>
  <c r="D87" i="1"/>
  <c r="G69" i="1"/>
  <c r="C60" i="1"/>
  <c r="B53" i="1"/>
  <c r="H26" i="1"/>
  <c r="H12" i="1"/>
  <c r="A102" i="2"/>
  <c r="F112" i="1"/>
  <c r="C77" i="1"/>
  <c r="C70" i="1"/>
  <c r="H60" i="1"/>
  <c r="B24" i="1"/>
  <c r="A59" i="1"/>
  <c r="F34" i="1"/>
  <c r="D183" i="1"/>
  <c r="D170" i="1"/>
  <c r="D26" i="1"/>
  <c r="G101" i="1"/>
  <c r="B64" i="1"/>
  <c r="E48" i="1"/>
  <c r="A52" i="2"/>
  <c r="E174" i="1"/>
  <c r="B143" i="1"/>
  <c r="A138" i="1"/>
  <c r="E126" i="1"/>
  <c r="F28" i="1"/>
  <c r="D123" i="1"/>
  <c r="G80" i="1"/>
  <c r="B3" i="1"/>
  <c r="D6" i="1"/>
  <c r="C25" i="1"/>
  <c r="E156" i="1"/>
  <c r="F115" i="1"/>
  <c r="F113" i="1"/>
  <c r="F79" i="1"/>
  <c r="H22" i="1"/>
  <c r="G66" i="1"/>
  <c r="D155" i="1"/>
  <c r="A36" i="2"/>
  <c r="B173" i="1"/>
  <c r="G27" i="1"/>
  <c r="B112" i="1"/>
  <c r="C69" i="1"/>
  <c r="C57" i="1"/>
  <c r="F100" i="1"/>
  <c r="H6" i="1"/>
  <c r="C123" i="1"/>
  <c r="H57" i="1"/>
  <c r="D52" i="1"/>
  <c r="F44" i="1"/>
  <c r="F111" i="1"/>
  <c r="A90" i="1"/>
  <c r="F40" i="1"/>
  <c r="F76" i="1"/>
  <c r="B67" i="1"/>
  <c r="H72" i="1"/>
  <c r="G55" i="1"/>
  <c r="H66" i="1"/>
  <c r="B54" i="1"/>
  <c r="B23" i="1"/>
  <c r="E16" i="1"/>
  <c r="H124" i="1"/>
  <c r="D16" i="1"/>
  <c r="C52" i="1"/>
  <c r="B41" i="1"/>
  <c r="B32" i="1"/>
  <c r="B104" i="1"/>
  <c r="H95" i="1"/>
  <c r="G49" i="1"/>
  <c r="H93" i="1"/>
  <c r="C81" i="1"/>
  <c r="F2" i="2"/>
  <c r="G141" i="1"/>
  <c r="C32" i="1"/>
  <c r="G147" i="1"/>
  <c r="F35" i="1"/>
  <c r="D27" i="1"/>
  <c r="E7" i="1"/>
  <c r="C11" i="1"/>
  <c r="C26" i="1"/>
  <c r="E95" i="1"/>
  <c r="D14" i="1"/>
  <c r="F63" i="1"/>
  <c r="F92" i="1"/>
  <c r="G19" i="1"/>
  <c r="H20" i="1"/>
  <c r="B124" i="1"/>
  <c r="H107" i="1"/>
  <c r="F96" i="1"/>
  <c r="G139" i="1"/>
  <c r="G167" i="1"/>
  <c r="E127" i="1"/>
  <c r="C112" i="1"/>
  <c r="C165" i="1"/>
  <c r="D169" i="1"/>
  <c r="A111" i="2"/>
  <c r="A14" i="2"/>
  <c r="B178" i="1"/>
  <c r="F183" i="1"/>
  <c r="F5" i="2"/>
  <c r="A88" i="2"/>
  <c r="B100" i="1"/>
  <c r="A20" i="2"/>
  <c r="B147" i="1"/>
  <c r="B119" i="1"/>
  <c r="D5" i="2"/>
  <c r="G117" i="1"/>
  <c r="A91" i="2"/>
  <c r="F102" i="1"/>
  <c r="E163" i="1"/>
  <c r="E120" i="1"/>
  <c r="C109" i="1"/>
  <c r="D168" i="1"/>
  <c r="G176" i="1"/>
  <c r="H147" i="1"/>
  <c r="E165" i="1"/>
  <c r="F135" i="1"/>
  <c r="D119" i="1"/>
  <c r="D38" i="1"/>
  <c r="A155" i="1"/>
  <c r="G93" i="1"/>
  <c r="D46" i="1"/>
  <c r="G45" i="1"/>
  <c r="A18" i="1"/>
  <c r="B58" i="1"/>
  <c r="H45" i="1"/>
  <c r="F21" i="1"/>
  <c r="A147" i="1"/>
  <c r="D98" i="1"/>
  <c r="F68" i="1"/>
  <c r="A74" i="1"/>
  <c r="B44" i="1"/>
  <c r="D31" i="1"/>
  <c r="G24" i="1"/>
  <c r="F154" i="1"/>
  <c r="G39" i="1"/>
  <c r="F29" i="1"/>
  <c r="E172" i="1"/>
  <c r="H167" i="1"/>
  <c r="C36" i="1"/>
  <c r="F19" i="1"/>
  <c r="E42" i="1"/>
  <c r="G36" i="1"/>
  <c r="B60" i="1"/>
  <c r="D127" i="1"/>
  <c r="B174" i="1"/>
  <c r="A106" i="1"/>
  <c r="F36" i="1"/>
  <c r="D121" i="1"/>
  <c r="H15" i="1"/>
  <c r="E154" i="1"/>
  <c r="E28" i="1"/>
  <c r="G7" i="1"/>
  <c r="H175" i="1"/>
  <c r="B118" i="1"/>
  <c r="B26" i="1"/>
  <c r="H9" i="1"/>
  <c r="G17" i="1"/>
  <c r="E72" i="1"/>
  <c r="B52" i="1"/>
  <c r="E4" i="1"/>
  <c r="C176" i="1"/>
  <c r="A33" i="2"/>
  <c r="G61" i="1"/>
  <c r="H46" i="1"/>
  <c r="E79" i="1"/>
  <c r="C131" i="1"/>
  <c r="H54" i="1"/>
  <c r="C2" i="1"/>
  <c r="C55" i="1"/>
  <c r="H73" i="1"/>
  <c r="D53" i="1"/>
  <c r="H132" i="1"/>
  <c r="A115" i="1"/>
  <c r="G25" i="1"/>
  <c r="C76" i="1"/>
  <c r="F176" i="1"/>
  <c r="G34" i="1"/>
  <c r="B12" i="1"/>
  <c r="F33" i="1"/>
  <c r="G18" i="1"/>
  <c r="H82" i="1"/>
  <c r="A66" i="1"/>
  <c r="C61" i="1"/>
  <c r="G15" i="1"/>
  <c r="E64" i="1"/>
  <c r="B19" i="1"/>
  <c r="A122" i="1"/>
  <c r="E67" i="1"/>
  <c r="F22" i="1"/>
  <c r="B50" i="1"/>
  <c r="G51" i="1"/>
  <c r="E52" i="1"/>
  <c r="B47" i="1"/>
  <c r="C65" i="1"/>
  <c r="H108" i="1"/>
  <c r="F13" i="1"/>
  <c r="D56" i="1"/>
  <c r="H134" i="1"/>
  <c r="E4" i="2"/>
  <c r="F25" i="1"/>
  <c r="C84" i="1"/>
  <c r="H13" i="1"/>
  <c r="C138" i="1"/>
  <c r="B93" i="1"/>
  <c r="E25" i="1"/>
  <c r="B4" i="1"/>
  <c r="F6" i="1"/>
  <c r="G37" i="1"/>
  <c r="H32" i="1"/>
  <c r="H96" i="1"/>
  <c r="E24" i="1"/>
  <c r="F48" i="1"/>
  <c r="E58" i="1"/>
  <c r="D129" i="1"/>
  <c r="H2" i="1"/>
  <c r="E161" i="1"/>
  <c r="B51" i="1"/>
  <c r="H75" i="1"/>
  <c r="C17" i="1"/>
  <c r="G84" i="1"/>
  <c r="E88" i="1"/>
  <c r="A62" i="2"/>
  <c r="A35" i="1"/>
  <c r="B40" i="1"/>
  <c r="D40" i="1"/>
  <c r="F166" i="1"/>
  <c r="C8" i="1"/>
  <c r="D24" i="1"/>
  <c r="H138" i="1"/>
  <c r="B4" i="2"/>
  <c r="C13" i="1"/>
  <c r="A130" i="1"/>
  <c r="F88" i="1"/>
  <c r="D142" i="1"/>
  <c r="E125" i="1"/>
  <c r="D92" i="1"/>
  <c r="C106" i="1"/>
  <c r="C142" i="1"/>
  <c r="G83" i="1"/>
  <c r="H163" i="1"/>
  <c r="B176" i="1"/>
  <c r="A51" i="2"/>
  <c r="C4" i="2"/>
  <c r="E113" i="1"/>
  <c r="B180" i="1"/>
  <c r="A49" i="2"/>
  <c r="A4" i="2"/>
  <c r="H106" i="1"/>
  <c r="C86" i="1"/>
  <c r="G152" i="1"/>
  <c r="G108" i="1"/>
  <c r="A44" i="2"/>
  <c r="C173" i="1"/>
  <c r="B175" i="1"/>
  <c r="D145" i="1"/>
  <c r="H135" i="1"/>
  <c r="D118" i="1"/>
  <c r="F108" i="1"/>
  <c r="C91" i="1"/>
  <c r="H178" i="1"/>
  <c r="D112" i="1"/>
  <c r="E167" i="1"/>
  <c r="H103" i="1"/>
  <c r="C51" i="1"/>
  <c r="G14" i="1"/>
  <c r="B74" i="1"/>
  <c r="G5" i="2"/>
  <c r="B80" i="1"/>
  <c r="C7" i="1"/>
  <c r="A146" i="1"/>
  <c r="E26" i="1"/>
  <c r="F77" i="1"/>
  <c r="D2" i="1"/>
  <c r="E2" i="2"/>
  <c r="G47" i="1"/>
  <c r="B35" i="1"/>
  <c r="A7" i="2"/>
  <c r="D80" i="1"/>
  <c r="D62" i="1"/>
  <c r="D13" i="1"/>
  <c r="C156" i="1"/>
  <c r="D70" i="1"/>
  <c r="C4" i="1"/>
  <c r="E66" i="1"/>
  <c r="H78" i="1"/>
  <c r="D69" i="1"/>
  <c r="C9" i="1"/>
  <c r="A51" i="1"/>
  <c r="D41" i="1"/>
  <c r="B28" i="1"/>
  <c r="A123" i="1"/>
  <c r="H116" i="1"/>
  <c r="A3" i="2"/>
  <c r="E70" i="1"/>
  <c r="D54" i="1"/>
  <c r="H17" i="1"/>
  <c r="C160" i="1"/>
  <c r="H62" i="1"/>
  <c r="G16" i="1"/>
  <c r="H31" i="1"/>
  <c r="E37" i="1"/>
  <c r="D61" i="1"/>
  <c r="C6" i="1"/>
  <c r="A83" i="1"/>
  <c r="D33" i="1"/>
  <c r="H89" i="1"/>
  <c r="A94" i="2"/>
  <c r="F163" i="1"/>
  <c r="E158" i="1"/>
  <c r="H118" i="1"/>
  <c r="F23" i="1"/>
  <c r="H47" i="1"/>
  <c r="E124" i="1"/>
  <c r="F107" i="1"/>
  <c r="A2" i="1"/>
  <c r="A114" i="1"/>
  <c r="B34" i="1"/>
  <c r="C100" i="1"/>
  <c r="H23" i="1"/>
  <c r="A80" i="2"/>
  <c r="G57" i="1"/>
  <c r="B43" i="1"/>
  <c r="G116" i="1"/>
  <c r="D67" i="1"/>
  <c r="B7" i="1"/>
  <c r="A34" i="1"/>
  <c r="D164" i="1"/>
  <c r="G72" i="1"/>
  <c r="D141" i="1"/>
  <c r="C43" i="1"/>
  <c r="C141" i="1"/>
  <c r="B56" i="1"/>
  <c r="D32" i="1"/>
  <c r="B179" i="1"/>
  <c r="D153" i="1"/>
  <c r="B6" i="1"/>
  <c r="E62" i="1"/>
  <c r="H7" i="1"/>
  <c r="C40" i="1"/>
  <c r="A66" i="2"/>
  <c r="G56" i="1"/>
  <c r="B38" i="1"/>
  <c r="C16" i="1"/>
  <c r="D107" i="1"/>
  <c r="E131" i="1"/>
  <c r="C180" i="1"/>
  <c r="F27" i="1"/>
  <c r="H50" i="1"/>
  <c r="G29" i="1"/>
  <c r="F65" i="1"/>
  <c r="G53" i="1"/>
  <c r="B17" i="1"/>
  <c r="F86" i="1"/>
  <c r="G12" i="1"/>
  <c r="D163" i="1"/>
  <c r="C41" i="1"/>
  <c r="G73" i="1"/>
  <c r="B25" i="1"/>
  <c r="D95" i="1"/>
  <c r="B9" i="1"/>
  <c r="E100" i="1"/>
  <c r="B20" i="1"/>
  <c r="D140" i="1"/>
  <c r="E86" i="1"/>
  <c r="D18" i="1"/>
  <c r="H80" i="1"/>
  <c r="G144" i="1"/>
  <c r="G74" i="1"/>
  <c r="C72" i="1"/>
  <c r="F101" i="1"/>
  <c r="G63" i="1"/>
  <c r="C14" i="1"/>
  <c r="C58" i="1"/>
  <c r="H162" i="1"/>
  <c r="D165" i="1"/>
  <c r="C35" i="1"/>
  <c r="F57" i="1"/>
  <c r="C163" i="1"/>
  <c r="B83" i="1"/>
  <c r="B153" i="1"/>
  <c r="D172" i="1"/>
  <c r="G160" i="1"/>
  <c r="C172" i="1"/>
  <c r="D4" i="2"/>
  <c r="H164" i="1"/>
  <c r="D152" i="1"/>
  <c r="H157" i="1"/>
  <c r="F182" i="1"/>
  <c r="H179" i="1"/>
  <c r="H131" i="1"/>
  <c r="D122" i="1"/>
  <c r="B158" i="1"/>
  <c r="C127" i="1"/>
  <c r="H90" i="1"/>
  <c r="C168" i="1"/>
  <c r="A45" i="1"/>
  <c r="A62" i="1"/>
  <c r="A87" i="1"/>
  <c r="C30" i="1"/>
  <c r="G126" i="1"/>
  <c r="A25" i="1"/>
  <c r="C117" i="1"/>
  <c r="A92" i="1"/>
  <c r="A133" i="1"/>
  <c r="A150" i="1"/>
  <c r="A175" i="1"/>
  <c r="A40" i="1"/>
  <c r="H174" i="1"/>
  <c r="A65" i="1"/>
  <c r="H143" i="1"/>
  <c r="A170" i="1"/>
  <c r="E39" i="1"/>
  <c r="E9" i="1"/>
  <c r="A43" i="1"/>
  <c r="D51" i="1"/>
  <c r="F38" i="1"/>
  <c r="D3" i="1"/>
  <c r="G124" i="1"/>
  <c r="F53" i="1"/>
  <c r="G172" i="1"/>
  <c r="B66" i="1"/>
  <c r="H154" i="1"/>
  <c r="D78" i="1"/>
  <c r="H3" i="1"/>
  <c r="F132" i="1"/>
  <c r="F39" i="1"/>
  <c r="B21" i="1"/>
  <c r="G54" i="1"/>
  <c r="F125" i="1"/>
  <c r="E27" i="1"/>
  <c r="E22" i="1"/>
  <c r="B184" i="1"/>
  <c r="C49" i="1"/>
  <c r="H36" i="1"/>
  <c r="H158" i="1"/>
  <c r="A23" i="2"/>
  <c r="B68" i="1"/>
  <c r="B2" i="1"/>
  <c r="F42" i="1"/>
  <c r="D100" i="1"/>
  <c r="B98" i="1"/>
  <c r="F31" i="1"/>
  <c r="G11" i="1"/>
  <c r="B75" i="1"/>
  <c r="B89" i="1"/>
  <c r="D117" i="1"/>
  <c r="F12" i="1"/>
  <c r="C2" i="2"/>
  <c r="C37" i="1"/>
  <c r="H28" i="1"/>
  <c r="C166" i="1"/>
  <c r="B149" i="1"/>
  <c r="D60" i="1"/>
  <c r="H8" i="1"/>
  <c r="B57" i="1"/>
  <c r="E68" i="1"/>
  <c r="G123" i="1"/>
  <c r="C50" i="1"/>
  <c r="E17" i="1"/>
  <c r="A11" i="1"/>
  <c r="D59" i="1"/>
  <c r="B46" i="1"/>
  <c r="F10" i="1"/>
  <c r="D151" i="1"/>
  <c r="F61" i="1"/>
  <c r="B15" i="1"/>
  <c r="C45" i="1"/>
  <c r="G91" i="1"/>
  <c r="C67" i="1"/>
  <c r="E46" i="1"/>
  <c r="D34" i="1"/>
  <c r="D115" i="1"/>
  <c r="B49" i="1"/>
  <c r="A67" i="1"/>
  <c r="G65" i="1"/>
  <c r="D167" i="1"/>
  <c r="F32" i="1"/>
  <c r="A27" i="1"/>
  <c r="C5" i="1"/>
  <c r="B82" i="1"/>
  <c r="H49" i="1"/>
  <c r="H18" i="1"/>
  <c r="F26" i="1"/>
  <c r="G59" i="1"/>
  <c r="G42" i="1"/>
  <c r="F81" i="1"/>
  <c r="G43" i="1"/>
  <c r="C12" i="1"/>
  <c r="D48" i="1"/>
  <c r="G131" i="1"/>
  <c r="H25" i="1"/>
  <c r="E76" i="1"/>
  <c r="E21" i="1"/>
  <c r="B16" i="1"/>
  <c r="H53" i="1"/>
  <c r="D29" i="1"/>
  <c r="E73" i="1"/>
  <c r="F11" i="1"/>
  <c r="C174" i="1"/>
  <c r="B183" i="1"/>
  <c r="A93" i="2"/>
  <c r="E3" i="2"/>
  <c r="H98" i="1"/>
  <c r="F91" i="1"/>
  <c r="G125" i="1"/>
  <c r="A109" i="1"/>
  <c r="A126" i="1"/>
  <c r="A32" i="1"/>
  <c r="C88" i="1"/>
  <c r="D166" i="1"/>
  <c r="A46" i="2"/>
  <c r="A37" i="2"/>
  <c r="A80" i="1"/>
  <c r="F118" i="1"/>
  <c r="D109" i="1"/>
  <c r="F71" i="1"/>
  <c r="G21" i="1"/>
  <c r="B114" i="1"/>
  <c r="H70" i="1"/>
  <c r="C113" i="1"/>
  <c r="C102" i="1"/>
  <c r="E84" i="1"/>
  <c r="E5" i="1"/>
  <c r="B72" i="1"/>
  <c r="D8" i="1"/>
  <c r="F62" i="1"/>
  <c r="G6" i="2"/>
  <c r="D55" i="1"/>
  <c r="D36" i="1"/>
  <c r="F56" i="1"/>
  <c r="E61" i="1"/>
  <c r="D15" i="1"/>
  <c r="A55" i="2"/>
  <c r="C3" i="1"/>
  <c r="D28" i="1"/>
  <c r="B48" i="1"/>
  <c r="E117" i="1"/>
  <c r="A139" i="1"/>
  <c r="B5" i="1"/>
  <c r="B29" i="1"/>
  <c r="E114" i="1"/>
  <c r="A83" i="2"/>
  <c r="D68" i="1"/>
  <c r="E23" i="1"/>
  <c r="H24" i="1"/>
  <c r="E14" i="1"/>
  <c r="D136" i="1"/>
  <c r="G82" i="1"/>
  <c r="H166" i="1"/>
  <c r="D76" i="1"/>
  <c r="E75" i="1"/>
  <c r="C53" i="1"/>
  <c r="E20" i="1"/>
  <c r="D73" i="1"/>
  <c r="D139" i="1"/>
  <c r="F8" i="1"/>
  <c r="E133" i="1"/>
  <c r="C92" i="1"/>
  <c r="C145" i="1"/>
  <c r="C130" i="1"/>
  <c r="G4" i="1"/>
  <c r="D84" i="1"/>
  <c r="H140" i="1"/>
  <c r="G112" i="1"/>
  <c r="C63" i="1"/>
  <c r="H33" i="1"/>
  <c r="D63" i="1"/>
  <c r="C31" i="1"/>
  <c r="D58" i="1"/>
  <c r="D135" i="1"/>
  <c r="C39" i="1"/>
  <c r="F7" i="1"/>
  <c r="B33" i="1"/>
  <c r="D37" i="1"/>
  <c r="C56" i="1"/>
  <c r="E2" i="1"/>
  <c r="H83" i="1"/>
  <c r="G22" i="1"/>
  <c r="G81" i="1"/>
  <c r="D64" i="1"/>
  <c r="D72" i="1"/>
  <c r="B10" i="1"/>
  <c r="H69" i="1"/>
  <c r="C27" i="1"/>
  <c r="C23" i="1"/>
  <c r="F74" i="1"/>
  <c r="D22" i="1"/>
  <c r="F73" i="1"/>
  <c r="E102" i="1"/>
  <c r="G23" i="1"/>
  <c r="G31" i="1"/>
  <c r="E152" i="1"/>
  <c r="B163" i="1"/>
  <c r="E160" i="1"/>
  <c r="D160" i="1"/>
  <c r="C175" i="1"/>
  <c r="D89" i="1"/>
  <c r="B127" i="1"/>
  <c r="C116" i="1"/>
  <c r="A151" i="1"/>
  <c r="A57" i="1"/>
  <c r="A156" i="1"/>
  <c r="A96" i="2"/>
  <c r="A97" i="1"/>
  <c r="F3" i="2"/>
  <c r="A171" i="1"/>
  <c r="F24" i="1"/>
  <c r="D5" i="1"/>
  <c r="E35" i="1"/>
  <c r="H121" i="1"/>
  <c r="G9" i="1"/>
  <c r="H10" i="1"/>
  <c r="E12" i="1"/>
  <c r="C18" i="1"/>
  <c r="H88" i="1"/>
  <c r="F54" i="1"/>
  <c r="E83" i="1"/>
  <c r="A58" i="1"/>
  <c r="E71" i="1"/>
  <c r="D79" i="1"/>
  <c r="E43" i="1"/>
  <c r="G76" i="1"/>
  <c r="A163" i="1"/>
  <c r="D57" i="1"/>
  <c r="G26" i="1"/>
  <c r="D128" i="1"/>
  <c r="H126" i="1"/>
  <c r="A34" i="2"/>
  <c r="C139" i="1"/>
  <c r="G62" i="1"/>
  <c r="D43" i="1"/>
  <c r="E44" i="1"/>
  <c r="C19" i="1"/>
  <c r="E32" i="1"/>
  <c r="H168" i="1"/>
  <c r="B162" i="1"/>
  <c r="G46" i="1"/>
  <c r="E78" i="1"/>
  <c r="B123" i="1"/>
  <c r="A26" i="1"/>
  <c r="E30" i="1"/>
  <c r="D77" i="1"/>
  <c r="F2" i="1"/>
  <c r="F69" i="1"/>
  <c r="B88" i="1"/>
  <c r="B8" i="1"/>
  <c r="D81" i="1"/>
  <c r="H27" i="1"/>
  <c r="F89" i="1"/>
  <c r="F9" i="1"/>
  <c r="C46" i="1"/>
  <c r="D10" i="1"/>
  <c r="H41" i="1"/>
  <c r="C64" i="1"/>
  <c r="B30" i="1"/>
  <c r="G35" i="1"/>
  <c r="C83" i="1"/>
  <c r="H74" i="1"/>
  <c r="F14" i="1"/>
  <c r="E38" i="1"/>
  <c r="D96" i="1"/>
  <c r="C24" i="1"/>
  <c r="A131" i="1"/>
  <c r="E31" i="1"/>
  <c r="E10" i="1"/>
  <c r="F5" i="1"/>
  <c r="C73" i="1"/>
  <c r="G2" i="1"/>
  <c r="B165" i="1"/>
  <c r="H48" i="1"/>
  <c r="E65" i="1"/>
  <c r="G10" i="1"/>
  <c r="D21" i="1"/>
  <c r="M25" i="8" l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M84" i="8" s="1"/>
  <c r="M85" i="8" s="1"/>
  <c r="M86" i="8" s="1"/>
  <c r="M87" i="8" s="1"/>
  <c r="M88" i="8" s="1"/>
  <c r="M89" i="8" s="1"/>
  <c r="M90" i="8" s="1"/>
  <c r="M91" i="8" s="1"/>
  <c r="M92" i="8" s="1"/>
  <c r="M93" i="8" s="1"/>
  <c r="M94" i="8" s="1"/>
  <c r="M95" i="8" s="1"/>
  <c r="M96" i="8" s="1"/>
  <c r="M97" i="8" s="1"/>
  <c r="M98" i="8" s="1"/>
  <c r="M99" i="8" s="1"/>
  <c r="M100" i="8" s="1"/>
  <c r="M101" i="8" s="1"/>
  <c r="M102" i="8" s="1"/>
  <c r="M103" i="8" s="1"/>
  <c r="M104" i="8" s="1"/>
  <c r="M105" i="8" s="1"/>
  <c r="M106" i="8" s="1"/>
  <c r="M107" i="8" s="1"/>
  <c r="M108" i="8" s="1"/>
  <c r="M109" i="8" s="1"/>
  <c r="M110" i="8" s="1"/>
  <c r="M111" i="8" s="1"/>
  <c r="M112" i="8" s="1"/>
  <c r="M113" i="8" s="1"/>
  <c r="M114" i="8" s="1"/>
  <c r="M115" i="8" s="1"/>
  <c r="M116" i="8" s="1"/>
  <c r="M117" i="8" s="1"/>
  <c r="M118" i="8" s="1"/>
  <c r="M119" i="8" s="1"/>
  <c r="M120" i="8" s="1"/>
  <c r="M121" i="8" s="1"/>
  <c r="M122" i="8" s="1"/>
  <c r="M123" i="8" s="1"/>
  <c r="M124" i="8" s="1"/>
  <c r="M125" i="8" s="1"/>
  <c r="M126" i="8" s="1"/>
  <c r="M127" i="8" s="1"/>
  <c r="M128" i="8" s="1"/>
  <c r="M129" i="8" s="1"/>
  <c r="M130" i="8" s="1"/>
  <c r="M131" i="8" s="1"/>
  <c r="M132" i="8" s="1"/>
  <c r="M133" i="8" s="1"/>
  <c r="M134" i="8" s="1"/>
  <c r="M135" i="8" s="1"/>
  <c r="M136" i="8" s="1"/>
  <c r="M137" i="8" s="1"/>
  <c r="M138" i="8" s="1"/>
  <c r="M139" i="8" s="1"/>
  <c r="M140" i="8" s="1"/>
  <c r="M141" i="8" s="1"/>
  <c r="M142" i="8" s="1"/>
  <c r="M143" i="8" s="1"/>
  <c r="M144" i="8" s="1"/>
  <c r="M145" i="8" s="1"/>
  <c r="M146" i="8" s="1"/>
  <c r="M147" i="8" s="1"/>
  <c r="M148" i="8" s="1"/>
  <c r="M149" i="8" s="1"/>
  <c r="M150" i="8" s="1"/>
  <c r="M151" i="8" s="1"/>
  <c r="M152" i="8" s="1"/>
  <c r="M153" i="8" s="1"/>
  <c r="M154" i="8" s="1"/>
  <c r="M155" i="8" s="1"/>
  <c r="M156" i="8" s="1"/>
  <c r="M157" i="8" s="1"/>
  <c r="M158" i="8" s="1"/>
  <c r="M159" i="8" s="1"/>
  <c r="M160" i="8" s="1"/>
  <c r="M161" i="8" s="1"/>
  <c r="M162" i="8" s="1"/>
  <c r="M163" i="8" s="1"/>
  <c r="M164" i="8" s="1"/>
  <c r="M165" i="8" s="1"/>
  <c r="M166" i="8" s="1"/>
  <c r="M167" i="8" s="1"/>
  <c r="M168" i="8" s="1"/>
  <c r="M169" i="8" s="1"/>
  <c r="M170" i="8" s="1"/>
  <c r="M171" i="8" s="1"/>
  <c r="M172" i="8" s="1"/>
  <c r="M173" i="8" s="1"/>
  <c r="M174" i="8" s="1"/>
  <c r="M175" i="8" s="1"/>
  <c r="M176" i="8" s="1"/>
  <c r="M177" i="8" s="1"/>
  <c r="M178" i="8" s="1"/>
  <c r="M179" i="8" s="1"/>
  <c r="M180" i="8" s="1"/>
  <c r="M181" i="8" s="1"/>
  <c r="M182" i="8" s="1"/>
  <c r="M183" i="8" s="1"/>
  <c r="M184" i="8" s="1"/>
  <c r="M185" i="8" s="1"/>
  <c r="M186" i="8" s="1"/>
  <c r="M187" i="8" s="1"/>
  <c r="M188" i="8" s="1"/>
  <c r="M189" i="8" s="1"/>
  <c r="M190" i="8" s="1"/>
  <c r="M191" i="8" s="1"/>
  <c r="M192" i="8" s="1"/>
  <c r="M193" i="8" s="1"/>
  <c r="M194" i="8" s="1"/>
  <c r="M195" i="8" s="1"/>
  <c r="M196" i="8" s="1"/>
  <c r="M197" i="8" s="1"/>
  <c r="M198" i="8" s="1"/>
  <c r="M199" i="8" s="1"/>
  <c r="M200" i="8" s="1"/>
  <c r="M201" i="8" s="1"/>
  <c r="M202" i="8" s="1"/>
  <c r="M203" i="8" s="1"/>
  <c r="M204" i="8" s="1"/>
  <c r="M205" i="8" s="1"/>
  <c r="M206" i="8" s="1"/>
  <c r="M207" i="8" s="1"/>
  <c r="M208" i="8" s="1"/>
  <c r="M209" i="8" s="1"/>
  <c r="M210" i="8" s="1"/>
  <c r="M211" i="8" s="1"/>
  <c r="M212" i="8" s="1"/>
  <c r="M213" i="8" s="1"/>
  <c r="M214" i="8" s="1"/>
  <c r="M215" i="8" s="1"/>
  <c r="M216" i="8" s="1"/>
  <c r="M217" i="8" s="1"/>
  <c r="M218" i="8" s="1"/>
  <c r="M219" i="8" s="1"/>
  <c r="M220" i="8" s="1"/>
  <c r="M221" i="8" s="1"/>
  <c r="M222" i="8" s="1"/>
  <c r="M223" i="8" s="1"/>
  <c r="M224" i="8" s="1"/>
  <c r="M225" i="8" s="1"/>
  <c r="M226" i="8" s="1"/>
  <c r="M227" i="8" s="1"/>
  <c r="M228" i="8" s="1"/>
  <c r="M229" i="8" s="1"/>
  <c r="M230" i="8" s="1"/>
  <c r="M231" i="8" s="1"/>
  <c r="M232" i="8" s="1"/>
  <c r="M233" i="8" s="1"/>
  <c r="M234" i="8" s="1"/>
  <c r="M235" i="8" s="1"/>
  <c r="M236" i="8" s="1"/>
  <c r="M237" i="8" s="1"/>
  <c r="M238" i="8" s="1"/>
  <c r="M239" i="8" s="1"/>
  <c r="M240" i="8" s="1"/>
  <c r="M241" i="8" s="1"/>
  <c r="M242" i="8" s="1"/>
  <c r="M243" i="8" s="1"/>
  <c r="M244" i="8" s="1"/>
  <c r="M245" i="8" s="1"/>
  <c r="M246" i="8" s="1"/>
  <c r="M247" i="8" s="1"/>
  <c r="M248" i="8" s="1"/>
  <c r="M249" i="8" s="1"/>
  <c r="M250" i="8" s="1"/>
  <c r="M251" i="8" s="1"/>
</calcChain>
</file>

<file path=xl/connections.xml><?xml version="1.0" encoding="utf-8"?>
<connections xmlns="http://schemas.openxmlformats.org/spreadsheetml/2006/main">
  <connection id="1" keepAlive="1" name="استعلام - ‏‏الاستعلام1" description="‏‏الاتصال بالاستعلام 'الاستعلام1' في المصنف." type="5" refreshedVersion="8" background="1" saveData="1">
    <dbPr connection="Provider=Microsoft.Mashup.OleDb.1;Data Source=$Workbook$;Location=الاستعلام1;Extended Properties=&quot;&quot;" command="SELECT * FROM [الاستعلام1]"/>
  </connection>
</connections>
</file>

<file path=xl/sharedStrings.xml><?xml version="1.0" encoding="utf-8"?>
<sst xmlns="http://schemas.openxmlformats.org/spreadsheetml/2006/main" count="2128" uniqueCount="570">
  <si>
    <t>#</t>
  </si>
  <si>
    <t>اسم الموظف</t>
  </si>
  <si>
    <t>User</t>
  </si>
  <si>
    <t>التشغيل</t>
  </si>
  <si>
    <t>تاريخ التكليف</t>
  </si>
  <si>
    <t>الجنس</t>
  </si>
  <si>
    <t>بدور علي عبدالله السلامة</t>
  </si>
  <si>
    <t>داخلي</t>
  </si>
  <si>
    <t>أنثى</t>
  </si>
  <si>
    <t>ذكر</t>
  </si>
  <si>
    <t>عبدالله محمد عبدالله القرني</t>
  </si>
  <si>
    <t>Am.alqarni</t>
  </si>
  <si>
    <t>نوف علي التركي</t>
  </si>
  <si>
    <t>Nf.altrki1</t>
  </si>
  <si>
    <t>فيصل قبلان العتيبي</t>
  </si>
  <si>
    <t>Fq.alotaibi</t>
  </si>
  <si>
    <t>هاجر محمد عبدالعزيز العليان</t>
  </si>
  <si>
    <t>Hajar.alalyan</t>
  </si>
  <si>
    <t>أفنان صالح الحناكي</t>
  </si>
  <si>
    <t>Ahenaki</t>
  </si>
  <si>
    <t xml:space="preserve">تاريخ المباشرة </t>
  </si>
  <si>
    <t>تاريخ الاستقالة</t>
  </si>
  <si>
    <t>نوع العقد</t>
  </si>
  <si>
    <t>سبب الاستبعاد</t>
  </si>
  <si>
    <t>فراس عبدالله السحيباني</t>
  </si>
  <si>
    <t xml:space="preserve">Fsihbani	</t>
  </si>
  <si>
    <t>عمل حر</t>
  </si>
  <si>
    <t xml:space="preserve">ذكر </t>
  </si>
  <si>
    <t>فسخ عقد - أداء ضعيف</t>
  </si>
  <si>
    <t>متعب فيحان بجاد المطيري</t>
  </si>
  <si>
    <t>MF.ALMUTAIRI1</t>
  </si>
  <si>
    <t>سعد عبدالرحمن المنقاش</t>
  </si>
  <si>
    <t>Smingash</t>
  </si>
  <si>
    <t>مساعد عبدالله الشهيّب</t>
  </si>
  <si>
    <t>Mshahyeb</t>
  </si>
  <si>
    <t>عقد توظيف</t>
  </si>
  <si>
    <t>استقاله</t>
  </si>
  <si>
    <t>احمد ماجد عبدالله العبدالجبار</t>
  </si>
  <si>
    <t>Aabduljabar-dis</t>
  </si>
  <si>
    <t>نورة شايع علي الشايع</t>
  </si>
  <si>
    <t>No.Alshaye</t>
  </si>
  <si>
    <t>رائد غازي العتيبي</t>
  </si>
  <si>
    <t>Rotaibi</t>
  </si>
  <si>
    <t>عويمر خالد العويمر</t>
  </si>
  <si>
    <t>Oowaimer</t>
  </si>
  <si>
    <t>مشعل محمد ابراهيم الهديب</t>
  </si>
  <si>
    <t>Mhudaib</t>
  </si>
  <si>
    <t>لم يحظر</t>
  </si>
  <si>
    <t>الغاء العقد ( وجد فرصة ثانية للعمل)</t>
  </si>
  <si>
    <t>نواف محمد المطوع</t>
  </si>
  <si>
    <t>Nmutawa</t>
  </si>
  <si>
    <t>فاطمة عامر عيسى العومي</t>
  </si>
  <si>
    <t>Foumi</t>
  </si>
  <si>
    <t>ندى فهد بن حمد</t>
  </si>
  <si>
    <t>Nhamad</t>
  </si>
  <si>
    <t>نايف محمد ناصر المطوع</t>
  </si>
  <si>
    <t>Naif17500</t>
  </si>
  <si>
    <t>عبدالله محمد تميم التميمي</t>
  </si>
  <si>
    <t>Am.altamimi1</t>
  </si>
  <si>
    <t>حمد سعود الشنفري</t>
  </si>
  <si>
    <t>Hshanfari</t>
  </si>
  <si>
    <t>ريما راشد سليمان البواردي</t>
  </si>
  <si>
    <t>Rralbawardi</t>
  </si>
  <si>
    <t>عبدالله طالع سالم الشهري</t>
  </si>
  <si>
    <t>Abshehri</t>
  </si>
  <si>
    <t>انسحاب</t>
  </si>
  <si>
    <t>فارس صالح غازي الدعجاني</t>
  </si>
  <si>
    <t>Fdajani</t>
  </si>
  <si>
    <t>استبعاد</t>
  </si>
  <si>
    <t>عبدالمجيد علي محمد المبرد</t>
  </si>
  <si>
    <t>Amubarrad</t>
  </si>
  <si>
    <t>عبدالله صالح عبدالله العيد</t>
  </si>
  <si>
    <t>Aeid</t>
  </si>
  <si>
    <t>بدر محمد بدر العتيبي</t>
  </si>
  <si>
    <t>Botaibi</t>
  </si>
  <si>
    <t>سالم راجح مسفر البقمي</t>
  </si>
  <si>
    <t>Sralbaqami</t>
  </si>
  <si>
    <t>مخلد صقر الغبيوي</t>
  </si>
  <si>
    <t>Msekbewi</t>
  </si>
  <si>
    <t>فواز محمد بجاد المطيري</t>
  </si>
  <si>
    <t>Fmutairi</t>
  </si>
  <si>
    <t>مرام خلف الحربي</t>
  </si>
  <si>
    <t>Mkalharbi</t>
  </si>
  <si>
    <t>ناصر فهيد القحطاني</t>
  </si>
  <si>
    <t>Nqahtani</t>
  </si>
  <si>
    <t>فيصل ابراهيم محمد المزروع</t>
  </si>
  <si>
    <t>Fmazroa</t>
  </si>
  <si>
    <t>عدم تجاوب - استبعاد</t>
  </si>
  <si>
    <t>سعد بن خالد بن سعد ابوحيمد</t>
  </si>
  <si>
    <t>Sabuhamed</t>
  </si>
  <si>
    <t>غاده سليمان صالح الحناكي</t>
  </si>
  <si>
    <t>Ghenaki</t>
  </si>
  <si>
    <t>مشاعل ابراهيم ناصر العبدالله</t>
  </si>
  <si>
    <t>Mabdullah</t>
  </si>
  <si>
    <t>العنود ناصر الراجح</t>
  </si>
  <si>
    <t>Arajeh</t>
  </si>
  <si>
    <t>عبدالملك سليمان الفريح</t>
  </si>
  <si>
    <t>Afraih</t>
  </si>
  <si>
    <t>وليد ابراهيم جازع الحميدان</t>
  </si>
  <si>
    <t>Whumidan</t>
  </si>
  <si>
    <t>اماني سعد ابراهيم الشقراوي</t>
  </si>
  <si>
    <t>Asalshkraoi</t>
  </si>
  <si>
    <t>نسرين محمد عوض المالكي</t>
  </si>
  <si>
    <t>Nmalki</t>
  </si>
  <si>
    <t>عبدالرحمن سعد عبدالرحمن المنقاش</t>
  </si>
  <si>
    <t>Aminqash</t>
  </si>
  <si>
    <t>هيفاء مزروع سعد المزروع</t>
  </si>
  <si>
    <t>Hmazroa</t>
  </si>
  <si>
    <t>محمد عايض عيضه المالكي</t>
  </si>
  <si>
    <t>Mohalmalki-dis</t>
  </si>
  <si>
    <t>عبدالمجيد سعود محمد السياري</t>
  </si>
  <si>
    <t>Asayari</t>
  </si>
  <si>
    <t>ملاك ابراهيم ناصر العبدالله</t>
  </si>
  <si>
    <t>Mlabdullah</t>
  </si>
  <si>
    <t>سلوى محمد فهد القحطاني</t>
  </si>
  <si>
    <t>Sqahtani</t>
  </si>
  <si>
    <t>ملاك حامد علي الشهري</t>
  </si>
  <si>
    <t>Mlshehri</t>
  </si>
  <si>
    <t>فاروق عبد الله محمد الحصان</t>
  </si>
  <si>
    <t>Fhussan</t>
  </si>
  <si>
    <t>منيره عبد القادر جاسم الصفران</t>
  </si>
  <si>
    <t>Msafran</t>
  </si>
  <si>
    <t>غاده حسين أحمد العمراني</t>
  </si>
  <si>
    <t>Galomrani</t>
  </si>
  <si>
    <t>فيصل عبدالله ابراهيم المنقاش</t>
  </si>
  <si>
    <t>Famingash</t>
  </si>
  <si>
    <t>مساعد علي محمد الاحمري</t>
  </si>
  <si>
    <t>Mahmari</t>
  </si>
  <si>
    <t>تاريخ الاعارة</t>
  </si>
  <si>
    <t>الوجهه</t>
  </si>
  <si>
    <t>روابي شالح عبدالله الحربي</t>
  </si>
  <si>
    <t>R.alharbi</t>
  </si>
  <si>
    <t>مدرب</t>
  </si>
  <si>
    <t xml:space="preserve">عقد </t>
  </si>
  <si>
    <t>انثى</t>
  </si>
  <si>
    <t>سحر مبارك سليمان السلامة</t>
  </si>
  <si>
    <t>Ssalama</t>
  </si>
  <si>
    <t>HR</t>
  </si>
  <si>
    <t>غادة سعيد مسفر الزهراني</t>
  </si>
  <si>
    <t>Gh.alzhrane1</t>
  </si>
  <si>
    <t>Report</t>
  </si>
  <si>
    <t>محمد سليمان الصيقل</t>
  </si>
  <si>
    <t>M.alsayql</t>
  </si>
  <si>
    <t>عبدالله محمد الزمامي</t>
  </si>
  <si>
    <t>ميساء محمد الصقير</t>
  </si>
  <si>
    <t>M.alsoqair</t>
  </si>
  <si>
    <t>task</t>
  </si>
  <si>
    <t xml:space="preserve">New Sheet that combined all 5 sheets (with a formula) </t>
  </si>
  <si>
    <t>New column shows employee situation (مكشف، مراجع,مستبعد،....) (Vlockup)</t>
  </si>
  <si>
    <t>تاريخ مباشرة الفعلي</t>
  </si>
  <si>
    <t>التاريخ الفعلي لأول حاوية</t>
  </si>
  <si>
    <t>بيان سليمان إبراهيم الصيقل</t>
  </si>
  <si>
    <t>B.alsayaql</t>
  </si>
  <si>
    <t>19/03/43 12:00:00 ص</t>
  </si>
  <si>
    <t>المكشفين</t>
  </si>
  <si>
    <t>هيا خالد الخزيم</t>
  </si>
  <si>
    <t>H.alkhuzayyim</t>
  </si>
  <si>
    <t>وجدان مشعل الحربي</t>
  </si>
  <si>
    <t>W.alharrbi1</t>
  </si>
  <si>
    <t>مها عبدالله محمد الدوسري</t>
  </si>
  <si>
    <t>M.aldosri1</t>
  </si>
  <si>
    <t>22/03/43 12:00:00 ص</t>
  </si>
  <si>
    <t>ريناد هزاع الهزاع</t>
  </si>
  <si>
    <t>R.alhazaa1</t>
  </si>
  <si>
    <t>25/03/43 12:00:00 ص</t>
  </si>
  <si>
    <t xml:space="preserve">وليد ابراهيم سعود القميزي </t>
  </si>
  <si>
    <t>W.algomyze</t>
  </si>
  <si>
    <t>02/04/43 12:00:00 ص</t>
  </si>
  <si>
    <t>أثير صالح الوهيد</t>
  </si>
  <si>
    <t>Awheed</t>
  </si>
  <si>
    <t>11/04/43 12:00:00 ص</t>
  </si>
  <si>
    <t>عبدالله عبدالرحمن الوهيبي</t>
  </si>
  <si>
    <t>Awheebi</t>
  </si>
  <si>
    <t>محمد خالد الشيباني</t>
  </si>
  <si>
    <t>Mshebani</t>
  </si>
  <si>
    <t>سعد ناصر القحطاني</t>
  </si>
  <si>
    <t>Snbdah</t>
  </si>
  <si>
    <t>إيمان عبدالعزيز النعيم</t>
  </si>
  <si>
    <t>Enaeem</t>
  </si>
  <si>
    <t>عمر خالد العمر</t>
  </si>
  <si>
    <t>Oomar</t>
  </si>
  <si>
    <t>بدر بن سعد القرني</t>
  </si>
  <si>
    <t>Bqarni</t>
  </si>
  <si>
    <t>18/04/43 12:00:00 ص</t>
  </si>
  <si>
    <t>محمد مثيب السبيعي</t>
  </si>
  <si>
    <t>Msubaie</t>
  </si>
  <si>
    <t>عبدالله خالد الحميد</t>
  </si>
  <si>
    <t>Ahumaid</t>
  </si>
  <si>
    <t>العنود علي اليحيى</t>
  </si>
  <si>
    <t>An.alyhya1</t>
  </si>
  <si>
    <t xml:space="preserve">دلال مشيلح حسين الفهمي </t>
  </si>
  <si>
    <t>Dm.alfehmi</t>
  </si>
  <si>
    <t xml:space="preserve">ريم علي ابراهيم القراش </t>
  </si>
  <si>
    <t>R.Algarrash</t>
  </si>
  <si>
    <t>عبدالله حمد الخويطر</t>
  </si>
  <si>
    <t>Akhwetir</t>
  </si>
  <si>
    <t>إعزاز سليمان الصيقل</t>
  </si>
  <si>
    <t>Esayqal</t>
  </si>
  <si>
    <t>نورة عبدالله صالح السلامة</t>
  </si>
  <si>
    <t>Nsalama</t>
  </si>
  <si>
    <t>26/04/43 12:00:00 ص</t>
  </si>
  <si>
    <t>خوله حمد علي الخويطر</t>
  </si>
  <si>
    <t>Kkhouitir</t>
  </si>
  <si>
    <t>يزيد عبدالله عايض عسيري</t>
  </si>
  <si>
    <t>Yz.alhaj</t>
  </si>
  <si>
    <t>اشواق مبلش المرزوقي البقمي</t>
  </si>
  <si>
    <t>Ash.almarzoqi</t>
  </si>
  <si>
    <t>هياء محمد سعيد عسيري</t>
  </si>
  <si>
    <t>H.aseree1</t>
  </si>
  <si>
    <t>خديجه نائف المطيري</t>
  </si>
  <si>
    <t>Kmutairi</t>
  </si>
  <si>
    <t>نوف صقر نايف المطيري</t>
  </si>
  <si>
    <t>Nmutairi</t>
  </si>
  <si>
    <t>03/05/43 12:00:00 ص</t>
  </si>
  <si>
    <t>نوف محمد صالح القرعاوي</t>
  </si>
  <si>
    <t>Nqarawi</t>
  </si>
  <si>
    <t>منيرة عبدالعزيز سعد بن شبر</t>
  </si>
  <si>
    <t>Mabdulaziz</t>
  </si>
  <si>
    <t>هدى عبدالرحمن سعد العمار</t>
  </si>
  <si>
    <t>Hammar</t>
  </si>
  <si>
    <t>منيرة فهد محمد السيف</t>
  </si>
  <si>
    <t>Mf.alsaif</t>
  </si>
  <si>
    <t>عبدالمحسن عامر عيسى العومي</t>
  </si>
  <si>
    <t>Aoumi</t>
  </si>
  <si>
    <t>فتون شايع علي الشايع</t>
  </si>
  <si>
    <t>Fshayea</t>
  </si>
  <si>
    <t>محمد عبدالرحمن عبدالله الراجح</t>
  </si>
  <si>
    <t>Mrajeh</t>
  </si>
  <si>
    <t>نهى محمد صالح القرعاوي</t>
  </si>
  <si>
    <t>Nuqarawi</t>
  </si>
  <si>
    <t>نورا إبراهيم أحمد الذييب</t>
  </si>
  <si>
    <t>Nialtheeb</t>
  </si>
  <si>
    <t>هاجر علي سعيد العمري</t>
  </si>
  <si>
    <t>Hamri</t>
  </si>
  <si>
    <t>عفاف أسامه مصطفى ميره</t>
  </si>
  <si>
    <t>Afmera</t>
  </si>
  <si>
    <t>عبدالعزيز سعود عبدالعزيز المقبل</t>
  </si>
  <si>
    <t>Amuqbil-dis</t>
  </si>
  <si>
    <t>05/05/43 12:00:00 ص</t>
  </si>
  <si>
    <t>بتال يوسف عبدالله البتال</t>
  </si>
  <si>
    <t>Bbattal</t>
  </si>
  <si>
    <t>08/05/43 12:00:00 ص</t>
  </si>
  <si>
    <t>حنان سعد محمد بن حزيم</t>
  </si>
  <si>
    <t>Hhuziem</t>
  </si>
  <si>
    <t>عبدالعزيز محمد عبدالله بن داود</t>
  </si>
  <si>
    <t>Adawod</t>
  </si>
  <si>
    <t>فاطمة ابراهيم سعد السعدون</t>
  </si>
  <si>
    <t>Fsadon</t>
  </si>
  <si>
    <t>فهد محمد عوض المالكي</t>
  </si>
  <si>
    <t>Fmalki</t>
  </si>
  <si>
    <t>محمد وهيب محمد الوهيبي</t>
  </si>
  <si>
    <t>Mwhebi</t>
  </si>
  <si>
    <t>هلا مناور تركي العنزي</t>
  </si>
  <si>
    <t>Hma.alonizi</t>
  </si>
  <si>
    <t>هياء محمد عيران الدوسري</t>
  </si>
  <si>
    <t>Hdosari</t>
  </si>
  <si>
    <t xml:space="preserve">عبدالوهاب مطلق حماد العطوي </t>
  </si>
  <si>
    <t>Aatawi</t>
  </si>
  <si>
    <t>ساره حمد ناصر الخريجي</t>
  </si>
  <si>
    <t>Shalkhuraiji</t>
  </si>
  <si>
    <t>وفاء عبدالله صالح السلامة</t>
  </si>
  <si>
    <t>Wsalama</t>
  </si>
  <si>
    <t>نوره عبدالله محمد المريس</t>
  </si>
  <si>
    <t>Nmries</t>
  </si>
  <si>
    <t>خالد بن سعد بن ابراهيم بن جميعه</t>
  </si>
  <si>
    <t>Ksajmeah-dis</t>
  </si>
  <si>
    <t>10/05/43 12:00:00 ص</t>
  </si>
  <si>
    <t>بشاير صالح مبارك العليان</t>
  </si>
  <si>
    <t>Bsalolayan</t>
  </si>
  <si>
    <t>اشواق علي سعود ال حمود</t>
  </si>
  <si>
    <t>Ahmoud</t>
  </si>
  <si>
    <t>هديل محمد عبدالله الزمامي</t>
  </si>
  <si>
    <t>Hzemami</t>
  </si>
  <si>
    <t>أسيل محمد عبدالله الزمامي</t>
  </si>
  <si>
    <t>Azemami</t>
  </si>
  <si>
    <t>حسن بن عبدالرحمن عبدالله الرزقي</t>
  </si>
  <si>
    <t>Hrezqi</t>
  </si>
  <si>
    <t>18/05/43 12:00:00 ص</t>
  </si>
  <si>
    <t>محمد بن سلمان بن هادي القحطاني</t>
  </si>
  <si>
    <t>Msqhtani-dis</t>
  </si>
  <si>
    <t>22/05/43 12:00:00 ص</t>
  </si>
  <si>
    <t>حصه عبدالله ناصر الموسى</t>
  </si>
  <si>
    <t>Hmousa</t>
  </si>
  <si>
    <t>نجلاء فهد بندر المطيري</t>
  </si>
  <si>
    <t>Njmutairi</t>
  </si>
  <si>
    <t>ندى بدر عبدالرزاق الرشيدان</t>
  </si>
  <si>
    <t>Nrshaydan</t>
  </si>
  <si>
    <t>محمد سويلم اليوسف</t>
  </si>
  <si>
    <t>M.alsoilm</t>
  </si>
  <si>
    <t>23/05/43 12:00:00 ص</t>
  </si>
  <si>
    <t>ابتهال خضران المطيري</t>
  </si>
  <si>
    <t>Emutairi</t>
  </si>
  <si>
    <t>24/05/43 12:00:00 ص</t>
  </si>
  <si>
    <t>خالد سفر سعد المطيري</t>
  </si>
  <si>
    <t>Khmutairi</t>
  </si>
  <si>
    <t>26/05/43 12:00:00 ص</t>
  </si>
  <si>
    <t>هياء ناصر علي الشريف</t>
  </si>
  <si>
    <t>Hashareef</t>
  </si>
  <si>
    <t>مها عبدالله حاسن الأحمري</t>
  </si>
  <si>
    <t>Mhahmari</t>
  </si>
  <si>
    <t>هدى ناصر علي الشريف</t>
  </si>
  <si>
    <t>Hshareef</t>
  </si>
  <si>
    <t>حمد خالد حمد البراهيم</t>
  </si>
  <si>
    <t>Hibrahim</t>
  </si>
  <si>
    <t>فيصل محمد علي الشماسي</t>
  </si>
  <si>
    <t>Fshumasi</t>
  </si>
  <si>
    <t>29/05/43 12:00:00 ص</t>
  </si>
  <si>
    <t>لطيفه عبدالعزيز محمد الزازان</t>
  </si>
  <si>
    <t>Lzazan</t>
  </si>
  <si>
    <t>الهام محمد عبدالرحمن الحمود</t>
  </si>
  <si>
    <t>Ehmoud</t>
  </si>
  <si>
    <t>أسماء خالد أحمد الشهيل</t>
  </si>
  <si>
    <t>Asheheel</t>
  </si>
  <si>
    <t>رهف شايق عبدالرحمن الشايق</t>
  </si>
  <si>
    <t>Rshayeq</t>
  </si>
  <si>
    <t>فاطمه عبدالله احمد بن شهيل</t>
  </si>
  <si>
    <t>Fshuhail</t>
  </si>
  <si>
    <t>مجد سلمان معتق المعتق</t>
  </si>
  <si>
    <t>Mmutteq</t>
  </si>
  <si>
    <t>نوال عائض عبدالله ال عامر</t>
  </si>
  <si>
    <t>Namer</t>
  </si>
  <si>
    <t>البندري سلمان القريني</t>
  </si>
  <si>
    <t>Agraini</t>
  </si>
  <si>
    <t>30/05/43 12:00:00 ص</t>
  </si>
  <si>
    <t>سارة أحمد عبدالله العجراء</t>
  </si>
  <si>
    <t>Sajra</t>
  </si>
  <si>
    <t>13/06/43 12:00:00 ص</t>
  </si>
  <si>
    <t>في حمد احمد الغميز</t>
  </si>
  <si>
    <t>Fghumais</t>
  </si>
  <si>
    <t>محمد بزاري احمد نجعي</t>
  </si>
  <si>
    <t>Mnajie</t>
  </si>
  <si>
    <t>نوف ابراهيم محمد المطوع</t>
  </si>
  <si>
    <t>Noufalmutawae</t>
  </si>
  <si>
    <t>وعد محمد السبيعي</t>
  </si>
  <si>
    <t>Wsubaie</t>
  </si>
  <si>
    <t>مقيم عايض عبدالرحمن الدوسري</t>
  </si>
  <si>
    <t>Mudosari</t>
  </si>
  <si>
    <t>01/06/43 12:00:00 ص</t>
  </si>
  <si>
    <t>ابراهيم محمد ابراهيم السليم</t>
  </si>
  <si>
    <t>Islayem</t>
  </si>
  <si>
    <t>بثينة محمد صالح القرعاوي</t>
  </si>
  <si>
    <t>Bqarawi</t>
  </si>
  <si>
    <t>ريم صالح عبدالرحمن القرعاوي</t>
  </si>
  <si>
    <t>Rqarawi</t>
  </si>
  <si>
    <t>تهاني محمد خالد الغوينم</t>
  </si>
  <si>
    <t>Tgoainem</t>
  </si>
  <si>
    <t>ريناد نايف محسن العتيبي</t>
  </si>
  <si>
    <t>Reotaibi</t>
  </si>
  <si>
    <t>فارس بن شافي بن فيحان السبيعي</t>
  </si>
  <si>
    <t>Fsubaie</t>
  </si>
  <si>
    <t>ندى عبدالله سعد الزهراني</t>
  </si>
  <si>
    <t>Ndzahrani</t>
  </si>
  <si>
    <t>عهد سعود نايف العضيلة</t>
  </si>
  <si>
    <t>Aodailah</t>
  </si>
  <si>
    <t>عبدالمجيد فهد حمد الحمد</t>
  </si>
  <si>
    <t>Abhamad</t>
  </si>
  <si>
    <t>صبا حمود عبدالله الشدوخي</t>
  </si>
  <si>
    <t>Sshdukhi</t>
  </si>
  <si>
    <t>02/06/43 12:00:00 ص</t>
  </si>
  <si>
    <t>نوره علي محمد الباتل</t>
  </si>
  <si>
    <t>Nbatel</t>
  </si>
  <si>
    <t>عبدالحكيم عبدالله محمد بن سعيد</t>
  </si>
  <si>
    <t>Abinsaeed</t>
  </si>
  <si>
    <t>نوف عبدالعزيز محمد العمار</t>
  </si>
  <si>
    <t>Noammar</t>
  </si>
  <si>
    <t>العنود عبدالعزيز نائف المضيان</t>
  </si>
  <si>
    <t>Al.almodaian</t>
  </si>
  <si>
    <t>خديجه سليمان عبدالرحمن الرشيد</t>
  </si>
  <si>
    <t>Khrasheed</t>
  </si>
  <si>
    <t>ربى حمد محمد الوهيبي</t>
  </si>
  <si>
    <t>Rwheebi</t>
  </si>
  <si>
    <t>عهود خالد عبد العزيز ال عتيق</t>
  </si>
  <si>
    <t>Oateeq</t>
  </si>
  <si>
    <t>ابراهيم عبدالكريم عبدالله التويجري</t>
  </si>
  <si>
    <t>Ituwaijre</t>
  </si>
  <si>
    <t>راكان بن خالد بن حزام القحطاني</t>
  </si>
  <si>
    <t>Rqahtani</t>
  </si>
  <si>
    <t>03/06/43 12:00:00 ص</t>
  </si>
  <si>
    <t>لمياء مشعل علي الزهراني</t>
  </si>
  <si>
    <t>Lzahrani</t>
  </si>
  <si>
    <t>زيد عبدالله علي العودة</t>
  </si>
  <si>
    <t>Zodah</t>
  </si>
  <si>
    <t>البندري ضيدان ذعار العتيبي</t>
  </si>
  <si>
    <t>Bnotaibi</t>
  </si>
  <si>
    <t>العنود احمد صالح الفوزان</t>
  </si>
  <si>
    <t>Anfozan</t>
  </si>
  <si>
    <t>دانه سعد محمد القيضي</t>
  </si>
  <si>
    <t>Dghaidi</t>
  </si>
  <si>
    <t>سلطان خالد عبدالرحمن السليمان</t>
  </si>
  <si>
    <t>Ssulaiman</t>
  </si>
  <si>
    <t>شروق عبدالعزيز محمد العمار</t>
  </si>
  <si>
    <t>Shammar</t>
  </si>
  <si>
    <t>فاتن بندر شمشول الحربي</t>
  </si>
  <si>
    <t>Fharbi</t>
  </si>
  <si>
    <t>فهد صقر محمد العنقودي</t>
  </si>
  <si>
    <t>Fangodi</t>
  </si>
  <si>
    <t>ديمة بنت محمد زيد الوهيبي</t>
  </si>
  <si>
    <t>Dwhaibi</t>
  </si>
  <si>
    <t>06/06/43 12:00:00 ص</t>
  </si>
  <si>
    <t>عبدالله راشد مطلق الشايعي</t>
  </si>
  <si>
    <t>Ashayee</t>
  </si>
  <si>
    <t>07/06/43 12:00:00 ص</t>
  </si>
  <si>
    <t>عبدالرحمن بن حمد الوهيبي</t>
  </si>
  <si>
    <t>Aawheebi</t>
  </si>
  <si>
    <t>محمد عبدالله اليوسف</t>
  </si>
  <si>
    <t>Maalsoilm</t>
  </si>
  <si>
    <t>أسماء سعيد فايز الدوسري</t>
  </si>
  <si>
    <t>Asdosari</t>
  </si>
  <si>
    <t>لنا عبدالله علي الدخيل</t>
  </si>
  <si>
    <t>Ldakheel</t>
  </si>
  <si>
    <t>لمياء يحيى عيسى الشهراني</t>
  </si>
  <si>
    <t>Lshahrani</t>
  </si>
  <si>
    <t>عبدالله بن فيصل بن مطلق ابوثنين</t>
  </si>
  <si>
    <t>Aabuthnain</t>
  </si>
  <si>
    <t>العنود خالد عبد الرحمن العمار</t>
  </si>
  <si>
    <t>Anammar</t>
  </si>
  <si>
    <t>زيد عبدالرحمن سعد الخثلان</t>
  </si>
  <si>
    <t>Zkhathlan</t>
  </si>
  <si>
    <t>وجدان عبدالله حماد بن شامه</t>
  </si>
  <si>
    <t>Wshamah</t>
  </si>
  <si>
    <t>سارة خالد سعيد الودعاني</t>
  </si>
  <si>
    <t>Swadaani</t>
  </si>
  <si>
    <t>عبدالله بن محمد بن زيد الوهيبي</t>
  </si>
  <si>
    <t>Abdwheebi</t>
  </si>
  <si>
    <t>نوره سامي سلمان السلمان</t>
  </si>
  <si>
    <t>Nosalman</t>
  </si>
  <si>
    <t>حصه فرج محمد القحطاني</t>
  </si>
  <si>
    <t>Hqahtani</t>
  </si>
  <si>
    <t>عبدالمجيد قاسم جابر العتيبي</t>
  </si>
  <si>
    <t>Abotaibi</t>
  </si>
  <si>
    <t>حنان فهد عبدالله السيف</t>
  </si>
  <si>
    <t>Hasaif</t>
  </si>
  <si>
    <t>08/06/43 12:00:00 ص</t>
  </si>
  <si>
    <t>خالد صالح عوضة الخثعمي</t>
  </si>
  <si>
    <t>Kkhathami</t>
  </si>
  <si>
    <t>عهود عبدالعزيز العمار</t>
  </si>
  <si>
    <t>Oammar</t>
  </si>
  <si>
    <t>ملاك سعد عبدالعزيز بن صليهم</t>
  </si>
  <si>
    <t>Mbinslayem</t>
  </si>
  <si>
    <t>وجدان شوعي علي مجرشي</t>
  </si>
  <si>
    <t>Wmajrashi</t>
  </si>
  <si>
    <t>شهد خالد عبدالله بن داود</t>
  </si>
  <si>
    <t>Shbindawod</t>
  </si>
  <si>
    <t>خوله محمد عبدالله السلوم</t>
  </si>
  <si>
    <t>Khsallom</t>
  </si>
  <si>
    <t>مشاعل عبدالله سعد السعيدان</t>
  </si>
  <si>
    <t>Msuaydan</t>
  </si>
  <si>
    <t>حنان صالح راشد الجهني</t>
  </si>
  <si>
    <t>Hjuhani</t>
  </si>
  <si>
    <t>مرام عبدالرحمن سليمان العقيل</t>
  </si>
  <si>
    <t>Maqeel</t>
  </si>
  <si>
    <t>10/06/43 12:00:00 ص</t>
  </si>
  <si>
    <t>اشتياق راشد خضران المطيري</t>
  </si>
  <si>
    <t>Imutairi</t>
  </si>
  <si>
    <t>رهف عبدالله وقيان الدوسري</t>
  </si>
  <si>
    <t>Rhdosari</t>
  </si>
  <si>
    <t>يارا صالح محمد الصقيران</t>
  </si>
  <si>
    <t>Ysugairan</t>
  </si>
  <si>
    <t>عاليه عمار ضيف الله القويعي</t>
  </si>
  <si>
    <t>Aquwaei</t>
  </si>
  <si>
    <t>عبداللطيف مبارك حمد القحطاني</t>
  </si>
  <si>
    <t>Abqahtani</t>
  </si>
  <si>
    <t>محمد ممدوح محمد الدوسري</t>
  </si>
  <si>
    <t>Mddosari</t>
  </si>
  <si>
    <t>هياء ابراهيم عبدالرحمن الحمدان</t>
  </si>
  <si>
    <t>Hahamdan</t>
  </si>
  <si>
    <t>اشواق ناصر حاسن العمري</t>
  </si>
  <si>
    <t>Ashamri</t>
  </si>
  <si>
    <t>وجدان نادر محمد الطباع</t>
  </si>
  <si>
    <t>Wtabba</t>
  </si>
  <si>
    <t>غالية ظافر مبروك البقمي</t>
  </si>
  <si>
    <t>Gbqumi</t>
  </si>
  <si>
    <t>هدى ظاهر عويد الشمري</t>
  </si>
  <si>
    <t>Hushammari</t>
  </si>
  <si>
    <t>عبدالله عبدالرحمن ناصر المزروع</t>
  </si>
  <si>
    <t>Abdmazro</t>
  </si>
  <si>
    <t>ايمان صالح مجحود سعيد الزهراني</t>
  </si>
  <si>
    <t>Aalzhrane</t>
  </si>
  <si>
    <t>مصعب بن بندر الجديد</t>
  </si>
  <si>
    <t>Mbabdaziz</t>
  </si>
  <si>
    <t>احمد منصور احمد الغامدي</t>
  </si>
  <si>
    <t>Alghamdi65</t>
  </si>
  <si>
    <t>عبدالكريم بن سعود عبيد الحربي</t>
  </si>
  <si>
    <t>Kroom1101</t>
  </si>
  <si>
    <t>رهف عبدالرحمن تركي العبدان</t>
  </si>
  <si>
    <t>Abrahaf377</t>
  </si>
  <si>
    <t>سامي عقاب عبيد المرشدي</t>
  </si>
  <si>
    <t>Samioqab91</t>
  </si>
  <si>
    <t>حمود طرجم حمود القحطاني</t>
  </si>
  <si>
    <t>Hh505xx</t>
  </si>
  <si>
    <t>غاده هذال سعيدان العصيمي</t>
  </si>
  <si>
    <t>Ghaadh17</t>
  </si>
  <si>
    <t>فهد بن عبدالله بن عبدالعزيز العمار</t>
  </si>
  <si>
    <t>Al-fhd</t>
  </si>
  <si>
    <t>نوض عايض جويعد الاكلبي</t>
  </si>
  <si>
    <t>Noud1440</t>
  </si>
  <si>
    <t>منى علي محمد الباتل</t>
  </si>
  <si>
    <t>Albatel</t>
  </si>
  <si>
    <t>نوره عبدالرحمن محمد الموسى</t>
  </si>
  <si>
    <t>Nourah262</t>
  </si>
  <si>
    <t>09/06/43 12:00:00 ص</t>
  </si>
  <si>
    <t>مناراحمد العمران</t>
  </si>
  <si>
    <t>Manaralomran413</t>
  </si>
  <si>
    <t>باسمه محمد عبدالعزيز الدايل</t>
  </si>
  <si>
    <t>Sunvip04</t>
  </si>
  <si>
    <t>وئام خالد عبدالوهاب العبدالوهاب</t>
  </si>
  <si>
    <t>Weaamkhaled</t>
  </si>
  <si>
    <t>يوسف صالح راشد الجهني</t>
  </si>
  <si>
    <t>Ysrj10</t>
  </si>
  <si>
    <t>عسلاء ناصر بدر العتيبي</t>
  </si>
  <si>
    <t>Aslaa1803</t>
  </si>
  <si>
    <t>ريان مفرح زاهر الشهري</t>
  </si>
  <si>
    <t>1377rayan</t>
  </si>
  <si>
    <t>خالد ظافر عبدالله القرني</t>
  </si>
  <si>
    <t>Qkhaled8</t>
  </si>
  <si>
    <t>نورة عبدالعزيز عبدالله المسعود</t>
  </si>
  <si>
    <t>Norahmasoud</t>
  </si>
  <si>
    <t>ابرار عبدالرحمن الشويمان</t>
  </si>
  <si>
    <t>Abrar14161</t>
  </si>
  <si>
    <t>بشائر عبدالله برجس المبرك</t>
  </si>
  <si>
    <t>B.almubrick</t>
  </si>
  <si>
    <t>ريوف محمد صالح الدوسري</t>
  </si>
  <si>
    <t>Rewwoof</t>
  </si>
  <si>
    <t>عبدالملك عبدالله صالح السلامة</t>
  </si>
  <si>
    <t>Abdulmalik.salamh</t>
  </si>
  <si>
    <t>سعيد محمد قبلان القحطاني</t>
  </si>
  <si>
    <t>Saeed_qp</t>
  </si>
  <si>
    <t>فيصل محمد هادي القحطاني</t>
  </si>
  <si>
    <t>Fqhtani</t>
  </si>
  <si>
    <t>بندر شويمي محمد الشويمي</t>
  </si>
  <si>
    <t>Bander.363</t>
  </si>
  <si>
    <t>ملاك منصور سالم الشهراني</t>
  </si>
  <si>
    <t>Malak-1423</t>
  </si>
  <si>
    <t>ساره عبدالله سليمان الغفيص</t>
  </si>
  <si>
    <t>S.a.r.a.112233</t>
  </si>
  <si>
    <t>سلطان عبدالله محمد السلطان</t>
  </si>
  <si>
    <t>Samals</t>
  </si>
  <si>
    <t>سلطان ردن سعد الحربي</t>
  </si>
  <si>
    <t>Srsharbi1</t>
  </si>
  <si>
    <t>عبدالعزيز علي محمد العجلان</t>
  </si>
  <si>
    <t>Abdaalajlan</t>
  </si>
  <si>
    <t>نوف فهد محمد السيف</t>
  </si>
  <si>
    <t>Nsaif</t>
  </si>
  <si>
    <t>محمد العويرضي</t>
  </si>
  <si>
    <t>Mhmhmd</t>
  </si>
  <si>
    <t>المراجعين</t>
  </si>
  <si>
    <t>عمره علي ناصر الكناني</t>
  </si>
  <si>
    <t>A.alkenani</t>
  </si>
  <si>
    <t>عقد</t>
  </si>
  <si>
    <t>نورة عبدالرؤوف الشنيبر</t>
  </si>
  <si>
    <t>N.alshnebr1</t>
  </si>
  <si>
    <t>منيرة عبدالرحمن ناصر البدر</t>
  </si>
  <si>
    <t>M.albader1</t>
  </si>
  <si>
    <t>هيا مسلم بن عون</t>
  </si>
  <si>
    <t>H.mslm1</t>
  </si>
  <si>
    <t>وضحاء نائف المطيري</t>
  </si>
  <si>
    <t>Wmutairi</t>
  </si>
  <si>
    <t>المشرفين</t>
  </si>
  <si>
    <t>المستقيلين_والمستبعدين</t>
  </si>
  <si>
    <t>26/03/43 12:00:00 ص</t>
  </si>
  <si>
    <t>01/05/43 12:00:00 ص</t>
  </si>
  <si>
    <t>15/05/43 12:00:00 ص</t>
  </si>
  <si>
    <t>02/05/43 12:00:00 ص</t>
  </si>
  <si>
    <t>16/05/43 12:00:00 ص</t>
  </si>
  <si>
    <t>17/05/43 12:00:00 ص</t>
  </si>
  <si>
    <t>المعارين</t>
  </si>
  <si>
    <t>حالة الموظف</t>
  </si>
  <si>
    <t xml:space="preserve">lookup </t>
  </si>
  <si>
    <t xml:space="preserve">البحث </t>
  </si>
  <si>
    <t xml:space="preserve">اسم الموظف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</si>
</sst>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5">
    <font>
      <sz val="10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1"/>
      <color rgb="FF000000"/>
      <name val="Inconsolata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sz val="11"/>
      <color rgb="FF222222"/>
      <name val="Calibri"/>
    </font>
    <font>
      <sz val="11"/>
      <color rgb="FF333333"/>
      <name val="Arial"/>
    </font>
    <font>
      <sz val="1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14" fontId="1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4" fillId="2" borderId="1" xfId="0" applyNumberFormat="1" applyFont="1" applyFill="1" applyBorder="1"/>
    <xf numFmtId="14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14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/>
    <xf numFmtId="0" fontId="3" fillId="2" borderId="0" xfId="0" applyFont="1" applyFill="1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14" fontId="1" fillId="2" borderId="8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2" fillId="2" borderId="5" xfId="0" applyNumberFormat="1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2" fillId="0" borderId="8" xfId="0" applyFont="1" applyBorder="1" applyAlignment="1">
      <alignment horizontal="center"/>
    </xf>
    <xf numFmtId="14" fontId="12" fillId="0" borderId="8" xfId="0" applyNumberFormat="1" applyFont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dd/mm/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dd/mm/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d/mm/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d/mm/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rgb="FFEA9999"/>
          <bgColor rgb="FFEA99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d/mm/yy"/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dd/mm/yy"/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dd/mm/yy"/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rgb="FFEA9999"/>
          <bgColor rgb="FFEA99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dd/mm/yy"/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dd/mm/yy"/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 unboundColumnsRight="3">
    <queryTableFields count="13">
      <queryTableField id="1" name="#" tableColumnId="1"/>
      <queryTableField id="2" name="اسم الموظف" tableColumnId="2"/>
      <queryTableField id="3" name="User" tableColumnId="3"/>
      <queryTableField id="4" name="التشغيل" tableColumnId="4"/>
      <queryTableField id="5" name="تاريخ المباشرة " tableColumnId="5"/>
      <queryTableField id="6" name="تاريخ مباشرة الفعلي" tableColumnId="6"/>
      <queryTableField id="7" name="نوع العقد" tableColumnId="7"/>
      <queryTableField id="8" name="الجنس" tableColumnId="8"/>
      <queryTableField id="9" name="التاريخ الفعلي لأول حاوية" tableColumnId="9"/>
      <queryTableField id="10" name="Name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6" name="الاستعلام1" displayName="الاستعلام1" ref="A1:M251" tableType="queryTable" totalsRowShown="0">
  <autoFilter ref="A1:M251"/>
  <tableColumns count="13">
    <tableColumn id="1" uniqueName="1" name="#" queryTableFieldId="1"/>
    <tableColumn id="2" uniqueName="2" name="اسم الموظف" queryTableFieldId="2" dataDxfId="11"/>
    <tableColumn id="3" uniqueName="3" name="User" queryTableFieldId="3" dataDxfId="10"/>
    <tableColumn id="4" uniqueName="4" name="التشغيل" queryTableFieldId="4" dataDxfId="9"/>
    <tableColumn id="5" uniqueName="5" name="تاريخ المباشرة " queryTableFieldId="5" dataDxfId="8"/>
    <tableColumn id="6" uniqueName="6" name="تاريخ مباشرة الفعلي" queryTableFieldId="6" dataDxfId="7"/>
    <tableColumn id="7" uniqueName="7" name="نوع العقد" queryTableFieldId="7" dataDxfId="6"/>
    <tableColumn id="8" uniqueName="8" name="الجنس" queryTableFieldId="8" dataDxfId="5"/>
    <tableColumn id="9" uniqueName="9" name="التاريخ الفعلي لأول حاوية" queryTableFieldId="9" dataDxfId="4"/>
    <tableColumn id="10" uniqueName="10" name="حالة الموظف" queryTableFieldId="10" dataDxfId="3"/>
    <tableColumn id="11" uniqueName="11" name="lookup " queryTableFieldId="11" dataDxfId="2">
      <calculatedColumnFormula>J2&amp;COUNTIF($J$2:J2,J2)</calculatedColumnFormula>
    </tableColumn>
    <tableColumn id="12" uniqueName="12" name="البحث " queryTableFieldId="12" dataDxfId="1"/>
    <tableColumn id="13" uniqueName="13" name="اسم الموظف " queryTableFieldId="13" dataDxfId="0">
      <calculatedColumnFormula>VLOOKUP($L$2&amp;ROW()-2,$A$2:$J$250,MATCH($M1,B2,0),FALSE)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المكشفين" displayName="المكشفين" ref="A1:H184" totalsRowShown="0" headerRowDxfId="71" dataDxfId="69" headerRowBorderDxfId="70" tableBorderDxfId="68" totalsRowBorderDxfId="67">
  <autoFilter ref="A1:H184"/>
  <tableColumns count="8">
    <tableColumn id="1" name="#" dataDxfId="66"/>
    <tableColumn id="2" name="اسم الموظف" dataDxfId="65"/>
    <tableColumn id="3" name="User" dataDxfId="64"/>
    <tableColumn id="4" name="التشغيل" dataDxfId="63">
      <calculatedColumnFormula>IFERROR(__xludf.DUMMYFUNCTION("""COMPUTED_VALUE"""),"داخلي")</calculatedColumnFormula>
    </tableColumn>
    <tableColumn id="5" name="تاريخ المباشرة " dataDxfId="62"/>
    <tableColumn id="6" name="تاريخ مباشرة الفعلي" dataDxfId="61"/>
    <tableColumn id="7" name="نوع العقد" dataDxfId="60">
      <calculatedColumnFormula>IFERROR(__xludf.DUMMYFUNCTION("""COMPUTED_VALUE"""),"عمل حر")</calculatedColumnFormula>
    </tableColumn>
    <tableColumn id="8" name="الجنس" dataDxfId="5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المراجعين" displayName="المراجعين" ref="A1:G7" totalsRowShown="0" dataDxfId="56" headerRowBorderDxfId="57" tableBorderDxfId="55" totalsRowBorderDxfId="54">
  <autoFilter ref="A1:G7"/>
  <tableColumns count="7">
    <tableColumn id="1" name="#" dataDxfId="53"/>
    <tableColumn id="2" name="اسم الموظف"/>
    <tableColumn id="3" name="User" dataDxfId="52"/>
    <tableColumn id="4" name="التشغيل" dataDxfId="51">
      <calculatedColumnFormula>IFERROR(__xludf.DUMMYFUNCTION("""COMPUTED_VALUE"""),"داخلي")</calculatedColumnFormula>
    </tableColumn>
    <tableColumn id="5" name="التاريخ الفعلي لأول حاوية" dataDxfId="50"/>
    <tableColumn id="6" name="نوع العقد" dataDxfId="49">
      <calculatedColumnFormula>IFERROR(__xludf.DUMMYFUNCTION("""COMPUTED_VALUE"""),"عقد")</calculatedColumnFormula>
    </tableColumn>
    <tableColumn id="7" name="الجنس" dataDxfId="48">
      <calculatedColumnFormula>IFERROR(__xludf.DUMMYFUNCTION("""COMPUTED_VALUE"""),"أنثى")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المشرفين" displayName="المشرفين" ref="A1:F7" totalsRowShown="0" dataDxfId="46" headerRowBorderDxfId="47" tableBorderDxfId="45">
  <autoFilter ref="A1:F7"/>
  <tableColumns count="6">
    <tableColumn id="1" name="#" dataDxfId="44"/>
    <tableColumn id="2" name="اسم الموظف" dataDxfId="43"/>
    <tableColumn id="3" name="User" dataDxfId="42"/>
    <tableColumn id="4" name="التشغيل" dataDxfId="41"/>
    <tableColumn id="5" name="تاريخ التكليف" dataDxfId="40"/>
    <tableColumn id="6" name="الجنس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المستقيلين_والمستبعدين" displayName="المستقيلين_والمستبعدين" ref="A1:I50" totalsRowShown="0" headerRowDxfId="37" headerRowBorderDxfId="36" tableBorderDxfId="35">
  <autoFilter ref="A1:I50"/>
  <tableColumns count="9">
    <tableColumn id="1" name="#" dataDxfId="34"/>
    <tableColumn id="2" name="اسم الموظف" dataDxfId="33"/>
    <tableColumn id="3" name="User" dataDxfId="32"/>
    <tableColumn id="4" name="التشغيل" dataDxfId="31"/>
    <tableColumn id="5" name="تاريخ المباشرة " dataDxfId="30"/>
    <tableColumn id="6" name="تاريخ الاستقالة" dataDxfId="29"/>
    <tableColumn id="7" name="نوع العقد" dataDxfId="28"/>
    <tableColumn id="8" name="الجنس" dataDxfId="27"/>
    <tableColumn id="9" name="سبب الاستبعاد" dataDxfId="2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5" name="المعارين" displayName="المعارين" ref="A1:I7" totalsRowShown="0" headerRowDxfId="25" dataDxfId="23" headerRowBorderDxfId="24" tableBorderDxfId="22" totalsRowBorderDxfId="21">
  <autoFilter ref="A1:I7"/>
  <tableColumns count="9">
    <tableColumn id="1" name="#" dataDxfId="20"/>
    <tableColumn id="2" name="اسم الموظف" dataDxfId="19"/>
    <tableColumn id="3" name="User" dataDxfId="18"/>
    <tableColumn id="4" name="التشغيل" dataDxfId="17"/>
    <tableColumn id="5" name="تاريخ المباشرة " dataDxfId="16"/>
    <tableColumn id="6" name="تاريخ الاعارة" dataDxfId="15"/>
    <tableColumn id="7" name="الوجهه" dataDxfId="14"/>
    <tableColumn id="8" name="نوع العقد" dataDxfId="13"/>
    <tableColumn id="9" name="الجنس" dataDxfId="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/>
  <cols>
    <col min="2" max="2" width="72" bestFit="1" customWidth="1"/>
  </cols>
  <sheetData>
    <row r="1" spans="1:2" ht="15.75">
      <c r="A1" s="87" t="s">
        <v>0</v>
      </c>
      <c r="B1" s="87" t="s">
        <v>146</v>
      </c>
    </row>
    <row r="2" spans="1:2" ht="15">
      <c r="A2" s="86">
        <v>1</v>
      </c>
      <c r="B2" s="86" t="s">
        <v>147</v>
      </c>
    </row>
    <row r="3" spans="1:2" ht="15">
      <c r="A3" s="86">
        <v>2</v>
      </c>
      <c r="B3" s="86" t="s">
        <v>148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rightToLeft="1" tabSelected="1" workbookViewId="0">
      <selection activeCell="M2" sqref="M2"/>
    </sheetView>
  </sheetViews>
  <sheetFormatPr defaultRowHeight="12.75"/>
  <cols>
    <col min="1" max="1" width="4.28515625" bestFit="1" customWidth="1"/>
    <col min="2" max="2" width="23" customWidth="1"/>
    <col min="3" max="3" width="16.85546875" bestFit="1" customWidth="1"/>
    <col min="4" max="4" width="8" bestFit="1" customWidth="1"/>
    <col min="5" max="5" width="18.7109375" bestFit="1" customWidth="1"/>
    <col min="6" max="6" width="16" bestFit="1" customWidth="1"/>
    <col min="7" max="7" width="9" bestFit="1" customWidth="1"/>
    <col min="8" max="8" width="7.42578125" bestFit="1" customWidth="1"/>
    <col min="9" max="9" width="19.28515625" bestFit="1" customWidth="1"/>
    <col min="10" max="10" width="14.85546875" bestFit="1" customWidth="1"/>
    <col min="11" max="11" width="13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149</v>
      </c>
      <c r="G1" t="s">
        <v>22</v>
      </c>
      <c r="H1" t="s">
        <v>5</v>
      </c>
      <c r="I1" t="s">
        <v>150</v>
      </c>
      <c r="J1" t="s">
        <v>566</v>
      </c>
      <c r="K1" t="s">
        <v>567</v>
      </c>
      <c r="L1" t="s">
        <v>568</v>
      </c>
      <c r="M1" t="s">
        <v>569</v>
      </c>
    </row>
    <row r="2" spans="1:13">
      <c r="A2">
        <v>1</v>
      </c>
      <c r="B2" s="131" t="s">
        <v>151</v>
      </c>
      <c r="C2" s="131" t="s">
        <v>152</v>
      </c>
      <c r="D2" s="131" t="s">
        <v>7</v>
      </c>
      <c r="E2" s="131" t="s">
        <v>153</v>
      </c>
      <c r="F2" s="132">
        <v>44494</v>
      </c>
      <c r="G2" s="131" t="s">
        <v>35</v>
      </c>
      <c r="H2" s="131" t="s">
        <v>8</v>
      </c>
      <c r="I2" s="132"/>
      <c r="J2" s="131" t="s">
        <v>154</v>
      </c>
      <c r="K2" s="131" t="str">
        <f>J2&amp;COUNTIF($J$2:J2,J2)</f>
        <v>المكشفين1</v>
      </c>
      <c r="L2" s="131" t="s">
        <v>154</v>
      </c>
      <c r="M2" s="131" t="e">
        <f t="shared" ref="M2:N65" si="0">VLOOKUP($L$2&amp;ROW()-2,$A$2:$J$250,MATCH($M1,B2,0),FALSE)</f>
        <v>#N/A</v>
      </c>
    </row>
    <row r="3" spans="1:13">
      <c r="A3">
        <v>2</v>
      </c>
      <c r="B3" s="131" t="s">
        <v>155</v>
      </c>
      <c r="C3" s="131" t="s">
        <v>156</v>
      </c>
      <c r="D3" s="131" t="s">
        <v>7</v>
      </c>
      <c r="E3" s="131" t="s">
        <v>153</v>
      </c>
      <c r="F3" s="132">
        <v>44494</v>
      </c>
      <c r="G3" s="131" t="s">
        <v>35</v>
      </c>
      <c r="H3" s="131" t="s">
        <v>8</v>
      </c>
      <c r="I3" s="132"/>
      <c r="J3" s="131" t="s">
        <v>154</v>
      </c>
      <c r="K3" s="131" t="str">
        <f>J3&amp;COUNTIF($J$2:J3,J3)</f>
        <v>المكشفين2</v>
      </c>
      <c r="L3" s="131"/>
      <c r="M3" s="131" t="e">
        <f t="shared" si="0"/>
        <v>#N/A</v>
      </c>
    </row>
    <row r="4" spans="1:13">
      <c r="A4">
        <v>3</v>
      </c>
      <c r="B4" s="131" t="s">
        <v>157</v>
      </c>
      <c r="C4" s="131" t="s">
        <v>158</v>
      </c>
      <c r="D4" s="131" t="s">
        <v>7</v>
      </c>
      <c r="E4" s="131" t="s">
        <v>153</v>
      </c>
      <c r="F4" s="132">
        <v>44494</v>
      </c>
      <c r="G4" s="131" t="s">
        <v>35</v>
      </c>
      <c r="H4" s="131" t="s">
        <v>8</v>
      </c>
      <c r="I4" s="132"/>
      <c r="J4" s="131" t="s">
        <v>154</v>
      </c>
      <c r="K4" s="131" t="str">
        <f>J4&amp;COUNTIF($J$2:J4,J4)</f>
        <v>المكشفين3</v>
      </c>
      <c r="L4" s="131"/>
      <c r="M4" s="131" t="e">
        <f t="shared" si="0"/>
        <v>#N/A</v>
      </c>
    </row>
    <row r="5" spans="1:13">
      <c r="A5">
        <v>4</v>
      </c>
      <c r="B5" s="131" t="s">
        <v>159</v>
      </c>
      <c r="C5" s="131" t="s">
        <v>160</v>
      </c>
      <c r="D5" s="131" t="s">
        <v>7</v>
      </c>
      <c r="E5" s="131" t="s">
        <v>161</v>
      </c>
      <c r="F5" s="132">
        <v>44497</v>
      </c>
      <c r="G5" s="131" t="s">
        <v>35</v>
      </c>
      <c r="H5" s="131" t="s">
        <v>8</v>
      </c>
      <c r="I5" s="132"/>
      <c r="J5" s="131" t="s">
        <v>154</v>
      </c>
      <c r="K5" s="131" t="str">
        <f>J5&amp;COUNTIF($J$2:J5,J5)</f>
        <v>المكشفين4</v>
      </c>
      <c r="L5" s="131"/>
      <c r="M5" s="131" t="e">
        <f t="shared" si="0"/>
        <v>#N/A</v>
      </c>
    </row>
    <row r="6" spans="1:13">
      <c r="A6">
        <v>5</v>
      </c>
      <c r="B6" s="131" t="s">
        <v>162</v>
      </c>
      <c r="C6" s="131" t="s">
        <v>163</v>
      </c>
      <c r="D6" s="131" t="s">
        <v>7</v>
      </c>
      <c r="E6" s="131" t="s">
        <v>164</v>
      </c>
      <c r="F6" s="132">
        <v>44500</v>
      </c>
      <c r="G6" s="131" t="s">
        <v>26</v>
      </c>
      <c r="H6" s="131" t="s">
        <v>8</v>
      </c>
      <c r="I6" s="132"/>
      <c r="J6" s="131" t="s">
        <v>154</v>
      </c>
      <c r="K6" s="131" t="str">
        <f>J6&amp;COUNTIF($J$2:J6,J6)</f>
        <v>المكشفين5</v>
      </c>
      <c r="L6" s="131"/>
      <c r="M6" s="131" t="e">
        <f t="shared" si="0"/>
        <v>#N/A</v>
      </c>
    </row>
    <row r="7" spans="1:13">
      <c r="A7">
        <v>6</v>
      </c>
      <c r="B7" s="131" t="s">
        <v>165</v>
      </c>
      <c r="C7" s="131" t="s">
        <v>166</v>
      </c>
      <c r="D7" s="131" t="s">
        <v>7</v>
      </c>
      <c r="E7" s="131" t="s">
        <v>167</v>
      </c>
      <c r="F7" s="132">
        <v>44521</v>
      </c>
      <c r="G7" s="131" t="s">
        <v>26</v>
      </c>
      <c r="H7" s="131" t="s">
        <v>27</v>
      </c>
      <c r="I7" s="132"/>
      <c r="J7" s="131" t="s">
        <v>154</v>
      </c>
      <c r="K7" s="131" t="str">
        <f>J7&amp;COUNTIF($J$2:J7,J7)</f>
        <v>المكشفين6</v>
      </c>
      <c r="L7" s="131"/>
      <c r="M7" s="131" t="e">
        <f t="shared" si="0"/>
        <v>#N/A</v>
      </c>
    </row>
    <row r="8" spans="1:13">
      <c r="A8">
        <v>7</v>
      </c>
      <c r="B8" s="131" t="s">
        <v>168</v>
      </c>
      <c r="C8" s="131" t="s">
        <v>169</v>
      </c>
      <c r="D8" s="131" t="s">
        <v>7</v>
      </c>
      <c r="E8" s="131" t="s">
        <v>170</v>
      </c>
      <c r="F8" s="132">
        <v>44516</v>
      </c>
      <c r="G8" s="131" t="s">
        <v>35</v>
      </c>
      <c r="H8" s="131" t="s">
        <v>8</v>
      </c>
      <c r="I8" s="132"/>
      <c r="J8" s="131" t="s">
        <v>154</v>
      </c>
      <c r="K8" s="131" t="str">
        <f>J8&amp;COUNTIF($J$2:J8,J8)</f>
        <v>المكشفين7</v>
      </c>
      <c r="L8" s="131"/>
      <c r="M8" s="131" t="e">
        <f t="shared" si="0"/>
        <v>#N/A</v>
      </c>
    </row>
    <row r="9" spans="1:13">
      <c r="A9">
        <v>8</v>
      </c>
      <c r="B9" s="131" t="s">
        <v>171</v>
      </c>
      <c r="C9" s="131" t="s">
        <v>172</v>
      </c>
      <c r="D9" s="131" t="s">
        <v>7</v>
      </c>
      <c r="E9" s="131" t="s">
        <v>170</v>
      </c>
      <c r="F9" s="132">
        <v>44516</v>
      </c>
      <c r="G9" s="131" t="s">
        <v>35</v>
      </c>
      <c r="H9" s="131" t="s">
        <v>27</v>
      </c>
      <c r="I9" s="132"/>
      <c r="J9" s="131" t="s">
        <v>154</v>
      </c>
      <c r="K9" s="131" t="str">
        <f>J9&amp;COUNTIF($J$2:J9,J9)</f>
        <v>المكشفين8</v>
      </c>
      <c r="L9" s="131"/>
      <c r="M9" s="131" t="e">
        <f t="shared" si="0"/>
        <v>#N/A</v>
      </c>
    </row>
    <row r="10" spans="1:13">
      <c r="A10">
        <v>9</v>
      </c>
      <c r="B10" s="131" t="s">
        <v>173</v>
      </c>
      <c r="C10" s="131" t="s">
        <v>174</v>
      </c>
      <c r="D10" s="131" t="s">
        <v>7</v>
      </c>
      <c r="E10" s="131" t="s">
        <v>170</v>
      </c>
      <c r="F10" s="132">
        <v>44516</v>
      </c>
      <c r="G10" s="131" t="s">
        <v>35</v>
      </c>
      <c r="H10" s="131" t="s">
        <v>27</v>
      </c>
      <c r="I10" s="132"/>
      <c r="J10" s="131" t="s">
        <v>154</v>
      </c>
      <c r="K10" s="131" t="str">
        <f>J10&amp;COUNTIF($J$2:J10,J10)</f>
        <v>المكشفين9</v>
      </c>
      <c r="L10" s="131"/>
      <c r="M10" s="131" t="e">
        <f t="shared" si="0"/>
        <v>#N/A</v>
      </c>
    </row>
    <row r="11" spans="1:13">
      <c r="A11">
        <v>10</v>
      </c>
      <c r="B11" s="131" t="s">
        <v>175</v>
      </c>
      <c r="C11" s="131" t="s">
        <v>176</v>
      </c>
      <c r="D11" s="131" t="s">
        <v>7</v>
      </c>
      <c r="E11" s="131" t="s">
        <v>170</v>
      </c>
      <c r="F11" s="132">
        <v>44524</v>
      </c>
      <c r="G11" s="131" t="s">
        <v>26</v>
      </c>
      <c r="H11" s="131" t="s">
        <v>27</v>
      </c>
      <c r="I11" s="132"/>
      <c r="J11" s="131" t="s">
        <v>154</v>
      </c>
      <c r="K11" s="131" t="str">
        <f>J11&amp;COUNTIF($J$2:J11,J11)</f>
        <v>المكشفين10</v>
      </c>
      <c r="L11" s="131"/>
      <c r="M11" s="131" t="e">
        <f t="shared" si="0"/>
        <v>#N/A</v>
      </c>
    </row>
    <row r="12" spans="1:13">
      <c r="A12">
        <v>11</v>
      </c>
      <c r="B12" s="131" t="s">
        <v>177</v>
      </c>
      <c r="C12" s="131" t="s">
        <v>178</v>
      </c>
      <c r="D12" s="131" t="s">
        <v>7</v>
      </c>
      <c r="E12" s="131" t="s">
        <v>170</v>
      </c>
      <c r="F12" s="132">
        <v>44516</v>
      </c>
      <c r="G12" s="131" t="s">
        <v>26</v>
      </c>
      <c r="H12" s="131" t="s">
        <v>8</v>
      </c>
      <c r="I12" s="132"/>
      <c r="J12" s="131" t="s">
        <v>154</v>
      </c>
      <c r="K12" s="131" t="str">
        <f>J12&amp;COUNTIF($J$2:J12,J12)</f>
        <v>المكشفين11</v>
      </c>
      <c r="L12" s="131"/>
      <c r="M12" s="131" t="e">
        <f t="shared" si="0"/>
        <v>#N/A</v>
      </c>
    </row>
    <row r="13" spans="1:13">
      <c r="A13">
        <v>12</v>
      </c>
      <c r="B13" s="131" t="s">
        <v>179</v>
      </c>
      <c r="C13" s="131" t="s">
        <v>180</v>
      </c>
      <c r="D13" s="131" t="s">
        <v>7</v>
      </c>
      <c r="E13" s="131" t="s">
        <v>170</v>
      </c>
      <c r="F13" s="132">
        <v>44516</v>
      </c>
      <c r="G13" s="131" t="s">
        <v>26</v>
      </c>
      <c r="H13" s="131" t="s">
        <v>27</v>
      </c>
      <c r="I13" s="132"/>
      <c r="J13" s="131" t="s">
        <v>154</v>
      </c>
      <c r="K13" s="131" t="str">
        <f>J13&amp;COUNTIF($J$2:J13,J13)</f>
        <v>المكشفين12</v>
      </c>
      <c r="L13" s="131"/>
      <c r="M13" s="131" t="e">
        <f t="shared" si="0"/>
        <v>#N/A</v>
      </c>
    </row>
    <row r="14" spans="1:13">
      <c r="A14">
        <v>13</v>
      </c>
      <c r="B14" s="131" t="s">
        <v>181</v>
      </c>
      <c r="C14" s="131" t="s">
        <v>182</v>
      </c>
      <c r="D14" s="131" t="s">
        <v>7</v>
      </c>
      <c r="E14" s="131" t="s">
        <v>183</v>
      </c>
      <c r="F14" s="132">
        <v>44523</v>
      </c>
      <c r="G14" s="131" t="s">
        <v>35</v>
      </c>
      <c r="H14" s="131" t="s">
        <v>27</v>
      </c>
      <c r="I14" s="132"/>
      <c r="J14" s="131" t="s">
        <v>154</v>
      </c>
      <c r="K14" s="131" t="str">
        <f>J14&amp;COUNTIF($J$2:J14,J14)</f>
        <v>المكشفين13</v>
      </c>
      <c r="L14" s="131"/>
      <c r="M14" s="131" t="e">
        <f t="shared" si="0"/>
        <v>#N/A</v>
      </c>
    </row>
    <row r="15" spans="1:13">
      <c r="A15">
        <v>14</v>
      </c>
      <c r="B15" s="131" t="s">
        <v>184</v>
      </c>
      <c r="C15" s="131" t="s">
        <v>185</v>
      </c>
      <c r="D15" s="131" t="s">
        <v>7</v>
      </c>
      <c r="E15" s="131" t="s">
        <v>183</v>
      </c>
      <c r="F15" s="132">
        <v>44523</v>
      </c>
      <c r="G15" s="131" t="s">
        <v>35</v>
      </c>
      <c r="H15" s="131" t="s">
        <v>27</v>
      </c>
      <c r="I15" s="132"/>
      <c r="J15" s="131" t="s">
        <v>154</v>
      </c>
      <c r="K15" s="131" t="str">
        <f>J15&amp;COUNTIF($J$2:J15,J15)</f>
        <v>المكشفين14</v>
      </c>
      <c r="L15" s="131"/>
      <c r="M15" s="131" t="e">
        <f t="shared" si="0"/>
        <v>#N/A</v>
      </c>
    </row>
    <row r="16" spans="1:13">
      <c r="A16">
        <v>15</v>
      </c>
      <c r="B16" s="131" t="s">
        <v>186</v>
      </c>
      <c r="C16" s="131" t="s">
        <v>187</v>
      </c>
      <c r="D16" s="131" t="s">
        <v>7</v>
      </c>
      <c r="E16" s="131" t="s">
        <v>183</v>
      </c>
      <c r="F16" s="132">
        <v>44524</v>
      </c>
      <c r="G16" s="131" t="s">
        <v>35</v>
      </c>
      <c r="H16" s="131" t="s">
        <v>27</v>
      </c>
      <c r="I16" s="132"/>
      <c r="J16" s="131" t="s">
        <v>154</v>
      </c>
      <c r="K16" s="131" t="str">
        <f>J16&amp;COUNTIF($J$2:J16,J16)</f>
        <v>المكشفين15</v>
      </c>
      <c r="L16" s="131"/>
      <c r="M16" s="131" t="e">
        <f t="shared" si="0"/>
        <v>#N/A</v>
      </c>
    </row>
    <row r="17" spans="1:13">
      <c r="A17">
        <v>16</v>
      </c>
      <c r="B17" s="131" t="s">
        <v>188</v>
      </c>
      <c r="C17" s="131" t="s">
        <v>189</v>
      </c>
      <c r="D17" s="131" t="s">
        <v>7</v>
      </c>
      <c r="E17" s="131" t="s">
        <v>183</v>
      </c>
      <c r="F17" s="132">
        <v>44524</v>
      </c>
      <c r="G17" s="131" t="s">
        <v>35</v>
      </c>
      <c r="H17" s="131" t="s">
        <v>8</v>
      </c>
      <c r="I17" s="132"/>
      <c r="J17" s="131" t="s">
        <v>154</v>
      </c>
      <c r="K17" s="131" t="str">
        <f>J17&amp;COUNTIF($J$2:J17,J17)</f>
        <v>المكشفين16</v>
      </c>
      <c r="L17" s="131"/>
      <c r="M17" s="131" t="e">
        <f t="shared" si="0"/>
        <v>#N/A</v>
      </c>
    </row>
    <row r="18" spans="1:13">
      <c r="A18">
        <v>17</v>
      </c>
      <c r="B18" s="131" t="s">
        <v>190</v>
      </c>
      <c r="C18" s="131" t="s">
        <v>191</v>
      </c>
      <c r="D18" s="131" t="s">
        <v>7</v>
      </c>
      <c r="E18" s="131" t="s">
        <v>183</v>
      </c>
      <c r="F18" s="132">
        <v>44531</v>
      </c>
      <c r="G18" s="131" t="s">
        <v>35</v>
      </c>
      <c r="H18" s="131" t="s">
        <v>8</v>
      </c>
      <c r="I18" s="132"/>
      <c r="J18" s="131" t="s">
        <v>154</v>
      </c>
      <c r="K18" s="131" t="str">
        <f>J18&amp;COUNTIF($J$2:J18,J18)</f>
        <v>المكشفين17</v>
      </c>
      <c r="L18" s="131"/>
      <c r="M18" s="131" t="e">
        <f t="shared" si="0"/>
        <v>#N/A</v>
      </c>
    </row>
    <row r="19" spans="1:13">
      <c r="A19">
        <v>18</v>
      </c>
      <c r="B19" s="131" t="s">
        <v>192</v>
      </c>
      <c r="C19" s="131" t="s">
        <v>193</v>
      </c>
      <c r="D19" s="131" t="s">
        <v>7</v>
      </c>
      <c r="E19" s="131" t="s">
        <v>183</v>
      </c>
      <c r="F19" s="132">
        <v>44531</v>
      </c>
      <c r="G19" s="131" t="s">
        <v>35</v>
      </c>
      <c r="H19" s="131" t="s">
        <v>8</v>
      </c>
      <c r="I19" s="132"/>
      <c r="J19" s="131" t="s">
        <v>154</v>
      </c>
      <c r="K19" s="131" t="str">
        <f>J19&amp;COUNTIF($J$2:J19,J19)</f>
        <v>المكشفين18</v>
      </c>
      <c r="L19" s="131"/>
      <c r="M19" s="131" t="e">
        <f t="shared" si="0"/>
        <v>#N/A</v>
      </c>
    </row>
    <row r="20" spans="1:13">
      <c r="A20">
        <v>19</v>
      </c>
      <c r="B20" s="131" t="s">
        <v>194</v>
      </c>
      <c r="C20" s="131" t="s">
        <v>195</v>
      </c>
      <c r="D20" s="131" t="s">
        <v>7</v>
      </c>
      <c r="E20" s="131" t="s">
        <v>183</v>
      </c>
      <c r="F20" s="132">
        <v>44523</v>
      </c>
      <c r="G20" s="131" t="s">
        <v>26</v>
      </c>
      <c r="H20" s="131" t="s">
        <v>27</v>
      </c>
      <c r="I20" s="132"/>
      <c r="J20" s="131" t="s">
        <v>154</v>
      </c>
      <c r="K20" s="131" t="str">
        <f>J20&amp;COUNTIF($J$2:J20,J20)</f>
        <v>المكشفين19</v>
      </c>
      <c r="L20" s="131"/>
      <c r="M20" s="131" t="e">
        <f t="shared" si="0"/>
        <v>#N/A</v>
      </c>
    </row>
    <row r="21" spans="1:13">
      <c r="A21">
        <v>20</v>
      </c>
      <c r="B21" s="131" t="s">
        <v>196</v>
      </c>
      <c r="C21" s="131" t="s">
        <v>197</v>
      </c>
      <c r="D21" s="131" t="s">
        <v>7</v>
      </c>
      <c r="E21" s="131" t="s">
        <v>183</v>
      </c>
      <c r="F21" s="132">
        <v>44523</v>
      </c>
      <c r="G21" s="131" t="s">
        <v>26</v>
      </c>
      <c r="H21" s="131" t="s">
        <v>8</v>
      </c>
      <c r="I21" s="132"/>
      <c r="J21" s="131" t="s">
        <v>154</v>
      </c>
      <c r="K21" s="131" t="str">
        <f>J21&amp;COUNTIF($J$2:J21,J21)</f>
        <v>المكشفين20</v>
      </c>
      <c r="L21" s="131"/>
      <c r="M21" s="131" t="e">
        <f t="shared" si="0"/>
        <v>#N/A</v>
      </c>
    </row>
    <row r="22" spans="1:13">
      <c r="A22">
        <v>21</v>
      </c>
      <c r="B22" s="131" t="s">
        <v>198</v>
      </c>
      <c r="C22" s="131" t="s">
        <v>199</v>
      </c>
      <c r="D22" s="131" t="s">
        <v>7</v>
      </c>
      <c r="E22" s="131" t="s">
        <v>200</v>
      </c>
      <c r="F22" s="132">
        <v>44531</v>
      </c>
      <c r="G22" s="131" t="s">
        <v>35</v>
      </c>
      <c r="H22" s="131" t="s">
        <v>8</v>
      </c>
      <c r="I22" s="132"/>
      <c r="J22" s="131" t="s">
        <v>154</v>
      </c>
      <c r="K22" s="131" t="str">
        <f>J22&amp;COUNTIF($J$2:J22,J22)</f>
        <v>المكشفين21</v>
      </c>
      <c r="L22" s="131"/>
      <c r="M22" s="131" t="e">
        <f t="shared" si="0"/>
        <v>#N/A</v>
      </c>
    </row>
    <row r="23" spans="1:13">
      <c r="A23">
        <v>22</v>
      </c>
      <c r="B23" s="131" t="s">
        <v>201</v>
      </c>
      <c r="C23" s="131" t="s">
        <v>202</v>
      </c>
      <c r="D23" s="131" t="s">
        <v>7</v>
      </c>
      <c r="E23" s="131" t="s">
        <v>200</v>
      </c>
      <c r="F23" s="132">
        <v>44531</v>
      </c>
      <c r="G23" s="131" t="s">
        <v>35</v>
      </c>
      <c r="H23" s="131" t="s">
        <v>8</v>
      </c>
      <c r="I23" s="132"/>
      <c r="J23" s="131" t="s">
        <v>154</v>
      </c>
      <c r="K23" s="131" t="str">
        <f>J23&amp;COUNTIF($J$2:J23,J23)</f>
        <v>المكشفين22</v>
      </c>
      <c r="L23" s="131"/>
      <c r="M23" s="131" t="e">
        <f t="shared" si="0"/>
        <v>#N/A</v>
      </c>
    </row>
    <row r="24" spans="1:13">
      <c r="A24">
        <v>23</v>
      </c>
      <c r="B24" s="131" t="s">
        <v>203</v>
      </c>
      <c r="C24" s="131" t="s">
        <v>204</v>
      </c>
      <c r="D24" s="131" t="s">
        <v>7</v>
      </c>
      <c r="E24" s="131" t="s">
        <v>200</v>
      </c>
      <c r="F24" s="132">
        <v>44531</v>
      </c>
      <c r="G24" s="131" t="s">
        <v>35</v>
      </c>
      <c r="H24" s="131" t="s">
        <v>27</v>
      </c>
      <c r="I24" s="132"/>
      <c r="J24" s="131" t="s">
        <v>154</v>
      </c>
      <c r="K24" s="131" t="str">
        <f>J24&amp;COUNTIF($J$2:J24,J24)</f>
        <v>المكشفين23</v>
      </c>
      <c r="L24" s="131"/>
      <c r="M24" s="131" t="e">
        <f t="shared" si="0"/>
        <v>#N/A</v>
      </c>
    </row>
    <row r="25" spans="1:13">
      <c r="A25">
        <v>24</v>
      </c>
      <c r="B25" s="131" t="s">
        <v>205</v>
      </c>
      <c r="C25" s="131" t="s">
        <v>206</v>
      </c>
      <c r="D25" s="131" t="s">
        <v>7</v>
      </c>
      <c r="E25" s="131" t="s">
        <v>200</v>
      </c>
      <c r="F25" s="132">
        <v>44531</v>
      </c>
      <c r="G25" s="131" t="s">
        <v>35</v>
      </c>
      <c r="H25" s="131" t="s">
        <v>8</v>
      </c>
      <c r="I25" s="132"/>
      <c r="J25" s="131" t="s">
        <v>154</v>
      </c>
      <c r="K25" s="131" t="str">
        <f>J25&amp;COUNTIF($J$2:J25,J25)</f>
        <v>المكشفين24</v>
      </c>
      <c r="L25" s="131"/>
      <c r="M25" s="131" t="e">
        <f t="shared" si="0"/>
        <v>#N/A</v>
      </c>
    </row>
    <row r="26" spans="1:13">
      <c r="A26">
        <v>25</v>
      </c>
      <c r="B26" s="131" t="s">
        <v>207</v>
      </c>
      <c r="C26" s="131" t="s">
        <v>208</v>
      </c>
      <c r="D26" s="131" t="s">
        <v>7</v>
      </c>
      <c r="E26" s="131" t="s">
        <v>200</v>
      </c>
      <c r="F26" s="132">
        <v>44531</v>
      </c>
      <c r="G26" s="131" t="s">
        <v>35</v>
      </c>
      <c r="H26" s="131" t="s">
        <v>8</v>
      </c>
      <c r="I26" s="132"/>
      <c r="J26" s="131" t="s">
        <v>154</v>
      </c>
      <c r="K26" s="131" t="str">
        <f>J26&amp;COUNTIF($J$2:J26,J26)</f>
        <v>المكشفين25</v>
      </c>
      <c r="L26" s="131"/>
      <c r="M26" s="131" t="e">
        <f t="shared" si="0"/>
        <v>#N/A</v>
      </c>
    </row>
    <row r="27" spans="1:13">
      <c r="A27">
        <v>26</v>
      </c>
      <c r="B27" s="131" t="s">
        <v>209</v>
      </c>
      <c r="C27" s="131" t="s">
        <v>210</v>
      </c>
      <c r="D27" s="131" t="s">
        <v>7</v>
      </c>
      <c r="E27" s="131" t="s">
        <v>200</v>
      </c>
      <c r="F27" s="132">
        <v>44531</v>
      </c>
      <c r="G27" s="131" t="s">
        <v>26</v>
      </c>
      <c r="H27" s="131" t="s">
        <v>8</v>
      </c>
      <c r="I27" s="132"/>
      <c r="J27" s="131" t="s">
        <v>154</v>
      </c>
      <c r="K27" s="131" t="str">
        <f>J27&amp;COUNTIF($J$2:J27,J27)</f>
        <v>المكشفين26</v>
      </c>
      <c r="L27" s="131"/>
      <c r="M27" s="131" t="e">
        <f t="shared" si="0"/>
        <v>#N/A</v>
      </c>
    </row>
    <row r="28" spans="1:13">
      <c r="A28">
        <v>27</v>
      </c>
      <c r="B28" s="131" t="s">
        <v>211</v>
      </c>
      <c r="C28" s="131" t="s">
        <v>212</v>
      </c>
      <c r="D28" s="131" t="s">
        <v>7</v>
      </c>
      <c r="E28" s="131" t="s">
        <v>213</v>
      </c>
      <c r="F28" s="132">
        <v>44537</v>
      </c>
      <c r="G28" s="131" t="s">
        <v>35</v>
      </c>
      <c r="H28" s="131" t="s">
        <v>8</v>
      </c>
      <c r="I28" s="132"/>
      <c r="J28" s="131" t="s">
        <v>154</v>
      </c>
      <c r="K28" s="131" t="str">
        <f>J28&amp;COUNTIF($J$2:J28,J28)</f>
        <v>المكشفين27</v>
      </c>
      <c r="L28" s="131"/>
      <c r="M28" s="131" t="e">
        <f t="shared" si="0"/>
        <v>#N/A</v>
      </c>
    </row>
    <row r="29" spans="1:13">
      <c r="A29">
        <v>28</v>
      </c>
      <c r="B29" s="131" t="s">
        <v>214</v>
      </c>
      <c r="C29" s="131" t="s">
        <v>215</v>
      </c>
      <c r="D29" s="131" t="s">
        <v>7</v>
      </c>
      <c r="E29" s="131" t="s">
        <v>213</v>
      </c>
      <c r="F29" s="132">
        <v>44537</v>
      </c>
      <c r="G29" s="131" t="s">
        <v>35</v>
      </c>
      <c r="H29" s="131" t="s">
        <v>8</v>
      </c>
      <c r="I29" s="132"/>
      <c r="J29" s="131" t="s">
        <v>154</v>
      </c>
      <c r="K29" s="131" t="str">
        <f>J29&amp;COUNTIF($J$2:J29,J29)</f>
        <v>المكشفين28</v>
      </c>
      <c r="L29" s="131"/>
      <c r="M29" s="131" t="e">
        <f t="shared" si="0"/>
        <v>#N/A</v>
      </c>
    </row>
    <row r="30" spans="1:13">
      <c r="A30">
        <v>29</v>
      </c>
      <c r="B30" s="131" t="s">
        <v>216</v>
      </c>
      <c r="C30" s="131" t="s">
        <v>217</v>
      </c>
      <c r="D30" s="131" t="s">
        <v>7</v>
      </c>
      <c r="E30" s="131" t="s">
        <v>213</v>
      </c>
      <c r="F30" s="132">
        <v>44537</v>
      </c>
      <c r="G30" s="131" t="s">
        <v>35</v>
      </c>
      <c r="H30" s="131" t="s">
        <v>8</v>
      </c>
      <c r="I30" s="132"/>
      <c r="J30" s="131" t="s">
        <v>154</v>
      </c>
      <c r="K30" s="131" t="str">
        <f>J30&amp;COUNTIF($J$2:J30,J30)</f>
        <v>المكشفين29</v>
      </c>
      <c r="L30" s="131"/>
      <c r="M30" s="131" t="e">
        <f t="shared" si="0"/>
        <v>#N/A</v>
      </c>
    </row>
    <row r="31" spans="1:13">
      <c r="A31">
        <v>30</v>
      </c>
      <c r="B31" s="131" t="s">
        <v>218</v>
      </c>
      <c r="C31" s="131" t="s">
        <v>219</v>
      </c>
      <c r="D31" s="131" t="s">
        <v>7</v>
      </c>
      <c r="E31" s="131" t="s">
        <v>213</v>
      </c>
      <c r="F31" s="132">
        <v>44537</v>
      </c>
      <c r="G31" s="131" t="s">
        <v>35</v>
      </c>
      <c r="H31" s="131" t="s">
        <v>8</v>
      </c>
      <c r="I31" s="132"/>
      <c r="J31" s="131" t="s">
        <v>154</v>
      </c>
      <c r="K31" s="131" t="str">
        <f>J31&amp;COUNTIF($J$2:J31,J31)</f>
        <v>المكشفين30</v>
      </c>
      <c r="L31" s="131"/>
      <c r="M31" s="131" t="e">
        <f t="shared" si="0"/>
        <v>#N/A</v>
      </c>
    </row>
    <row r="32" spans="1:13">
      <c r="A32">
        <v>31</v>
      </c>
      <c r="B32" s="131" t="s">
        <v>220</v>
      </c>
      <c r="C32" s="131" t="s">
        <v>221</v>
      </c>
      <c r="D32" s="131" t="s">
        <v>7</v>
      </c>
      <c r="E32" s="131" t="s">
        <v>213</v>
      </c>
      <c r="F32" s="132">
        <v>44537</v>
      </c>
      <c r="G32" s="131" t="s">
        <v>35</v>
      </c>
      <c r="H32" s="131" t="s">
        <v>8</v>
      </c>
      <c r="I32" s="132"/>
      <c r="J32" s="131" t="s">
        <v>154</v>
      </c>
      <c r="K32" s="131" t="str">
        <f>J32&amp;COUNTIF($J$2:J32,J32)</f>
        <v>المكشفين31</v>
      </c>
      <c r="L32" s="131"/>
      <c r="M32" s="131" t="e">
        <f t="shared" si="0"/>
        <v>#N/A</v>
      </c>
    </row>
    <row r="33" spans="1:13">
      <c r="A33">
        <v>32</v>
      </c>
      <c r="B33" s="131" t="s">
        <v>222</v>
      </c>
      <c r="C33" s="131" t="s">
        <v>223</v>
      </c>
      <c r="D33" s="131" t="s">
        <v>7</v>
      </c>
      <c r="E33" s="131" t="s">
        <v>213</v>
      </c>
      <c r="F33" s="132">
        <v>44537</v>
      </c>
      <c r="G33" s="131" t="s">
        <v>35</v>
      </c>
      <c r="H33" s="131" t="s">
        <v>27</v>
      </c>
      <c r="I33" s="132"/>
      <c r="J33" s="131" t="s">
        <v>154</v>
      </c>
      <c r="K33" s="131" t="str">
        <f>J33&amp;COUNTIF($J$2:J33,J33)</f>
        <v>المكشفين32</v>
      </c>
      <c r="L33" s="131"/>
      <c r="M33" s="131" t="e">
        <f t="shared" si="0"/>
        <v>#N/A</v>
      </c>
    </row>
    <row r="34" spans="1:13">
      <c r="A34">
        <v>33</v>
      </c>
      <c r="B34" s="131" t="s">
        <v>224</v>
      </c>
      <c r="C34" s="131" t="s">
        <v>225</v>
      </c>
      <c r="D34" s="131" t="s">
        <v>7</v>
      </c>
      <c r="E34" s="131" t="s">
        <v>213</v>
      </c>
      <c r="F34" s="132">
        <v>44537</v>
      </c>
      <c r="G34" s="131" t="s">
        <v>35</v>
      </c>
      <c r="H34" s="131" t="s">
        <v>8</v>
      </c>
      <c r="I34" s="132"/>
      <c r="J34" s="131" t="s">
        <v>154</v>
      </c>
      <c r="K34" s="131" t="str">
        <f>J34&amp;COUNTIF($J$2:J34,J34)</f>
        <v>المكشفين33</v>
      </c>
      <c r="L34" s="131"/>
      <c r="M34" s="131" t="e">
        <f t="shared" si="0"/>
        <v>#N/A</v>
      </c>
    </row>
    <row r="35" spans="1:13">
      <c r="A35">
        <v>34</v>
      </c>
      <c r="B35" s="131" t="s">
        <v>226</v>
      </c>
      <c r="C35" s="131" t="s">
        <v>227</v>
      </c>
      <c r="D35" s="131" t="s">
        <v>7</v>
      </c>
      <c r="E35" s="131" t="s">
        <v>213</v>
      </c>
      <c r="F35" s="132">
        <v>44537</v>
      </c>
      <c r="G35" s="131" t="s">
        <v>35</v>
      </c>
      <c r="H35" s="131" t="s">
        <v>27</v>
      </c>
      <c r="I35" s="132"/>
      <c r="J35" s="131" t="s">
        <v>154</v>
      </c>
      <c r="K35" s="131" t="str">
        <f>J35&amp;COUNTIF($J$2:J35,J35)</f>
        <v>المكشفين34</v>
      </c>
      <c r="L35" s="131"/>
      <c r="M35" s="131" t="e">
        <f t="shared" si="0"/>
        <v>#N/A</v>
      </c>
    </row>
    <row r="36" spans="1:13">
      <c r="A36">
        <v>35</v>
      </c>
      <c r="B36" s="131" t="s">
        <v>228</v>
      </c>
      <c r="C36" s="131" t="s">
        <v>229</v>
      </c>
      <c r="D36" s="131" t="s">
        <v>7</v>
      </c>
      <c r="E36" s="131" t="s">
        <v>213</v>
      </c>
      <c r="F36" s="132">
        <v>44537</v>
      </c>
      <c r="G36" s="131" t="s">
        <v>35</v>
      </c>
      <c r="H36" s="131" t="s">
        <v>8</v>
      </c>
      <c r="I36" s="132"/>
      <c r="J36" s="131" t="s">
        <v>154</v>
      </c>
      <c r="K36" s="131" t="str">
        <f>J36&amp;COUNTIF($J$2:J36,J36)</f>
        <v>المكشفين35</v>
      </c>
      <c r="L36" s="131"/>
      <c r="M36" s="131" t="e">
        <f t="shared" si="0"/>
        <v>#N/A</v>
      </c>
    </row>
    <row r="37" spans="1:13">
      <c r="A37">
        <v>36</v>
      </c>
      <c r="B37" s="131" t="s">
        <v>230</v>
      </c>
      <c r="C37" s="131" t="s">
        <v>231</v>
      </c>
      <c r="D37" s="131" t="s">
        <v>7</v>
      </c>
      <c r="E37" s="131" t="s">
        <v>213</v>
      </c>
      <c r="F37" s="132">
        <v>44542</v>
      </c>
      <c r="G37" s="131" t="s">
        <v>26</v>
      </c>
      <c r="H37" s="131" t="s">
        <v>8</v>
      </c>
      <c r="I37" s="132"/>
      <c r="J37" s="131" t="s">
        <v>154</v>
      </c>
      <c r="K37" s="131" t="str">
        <f>J37&amp;COUNTIF($J$2:J37,J37)</f>
        <v>المكشفين36</v>
      </c>
      <c r="L37" s="131"/>
      <c r="M37" s="131" t="e">
        <f t="shared" si="0"/>
        <v>#N/A</v>
      </c>
    </row>
    <row r="38" spans="1:13">
      <c r="A38">
        <v>37</v>
      </c>
      <c r="B38" s="131" t="s">
        <v>232</v>
      </c>
      <c r="C38" s="131" t="s">
        <v>233</v>
      </c>
      <c r="D38" s="131" t="s">
        <v>7</v>
      </c>
      <c r="E38" s="131" t="s">
        <v>213</v>
      </c>
      <c r="F38" s="132">
        <v>44537</v>
      </c>
      <c r="G38" s="131" t="s">
        <v>26</v>
      </c>
      <c r="H38" s="131" t="s">
        <v>8</v>
      </c>
      <c r="I38" s="132"/>
      <c r="J38" s="131" t="s">
        <v>154</v>
      </c>
      <c r="K38" s="131" t="str">
        <f>J38&amp;COUNTIF($J$2:J38,J38)</f>
        <v>المكشفين37</v>
      </c>
      <c r="L38" s="131"/>
      <c r="M38" s="131" t="e">
        <f t="shared" si="0"/>
        <v>#N/A</v>
      </c>
    </row>
    <row r="39" spans="1:13">
      <c r="A39">
        <v>38</v>
      </c>
      <c r="B39" s="131" t="s">
        <v>234</v>
      </c>
      <c r="C39" s="131" t="s">
        <v>235</v>
      </c>
      <c r="D39" s="131" t="s">
        <v>7</v>
      </c>
      <c r="E39" s="131" t="s">
        <v>213</v>
      </c>
      <c r="F39" s="132">
        <v>44537</v>
      </c>
      <c r="G39" s="131" t="s">
        <v>26</v>
      </c>
      <c r="H39" s="131" t="s">
        <v>8</v>
      </c>
      <c r="I39" s="132"/>
      <c r="J39" s="131" t="s">
        <v>154</v>
      </c>
      <c r="K39" s="131" t="str">
        <f>J39&amp;COUNTIF($J$2:J39,J39)</f>
        <v>المكشفين38</v>
      </c>
      <c r="L39" s="131"/>
      <c r="M39" s="131" t="e">
        <f t="shared" si="0"/>
        <v>#N/A</v>
      </c>
    </row>
    <row r="40" spans="1:13">
      <c r="A40">
        <v>39</v>
      </c>
      <c r="B40" s="131" t="s">
        <v>236</v>
      </c>
      <c r="C40" s="131" t="s">
        <v>237</v>
      </c>
      <c r="D40" s="131" t="s">
        <v>7</v>
      </c>
      <c r="E40" s="131" t="s">
        <v>238</v>
      </c>
      <c r="F40" s="132">
        <v>44539</v>
      </c>
      <c r="G40" s="131" t="s">
        <v>35</v>
      </c>
      <c r="H40" s="131" t="s">
        <v>27</v>
      </c>
      <c r="I40" s="132"/>
      <c r="J40" s="131" t="s">
        <v>154</v>
      </c>
      <c r="K40" s="131" t="str">
        <f>J40&amp;COUNTIF($J$2:J40,J40)</f>
        <v>المكشفين39</v>
      </c>
      <c r="L40" s="131"/>
      <c r="M40" s="131" t="e">
        <f t="shared" si="0"/>
        <v>#N/A</v>
      </c>
    </row>
    <row r="41" spans="1:13">
      <c r="A41">
        <v>40</v>
      </c>
      <c r="B41" s="131" t="s">
        <v>239</v>
      </c>
      <c r="C41" s="131" t="s">
        <v>240</v>
      </c>
      <c r="D41" s="131" t="s">
        <v>7</v>
      </c>
      <c r="E41" s="131" t="s">
        <v>241</v>
      </c>
      <c r="F41" s="132">
        <v>44542</v>
      </c>
      <c r="G41" s="131" t="s">
        <v>35</v>
      </c>
      <c r="H41" s="131" t="s">
        <v>27</v>
      </c>
      <c r="I41" s="132"/>
      <c r="J41" s="131" t="s">
        <v>154</v>
      </c>
      <c r="K41" s="131" t="str">
        <f>J41&amp;COUNTIF($J$2:J41,J41)</f>
        <v>المكشفين40</v>
      </c>
      <c r="L41" s="131"/>
      <c r="M41" s="131" t="e">
        <f t="shared" si="0"/>
        <v>#N/A</v>
      </c>
    </row>
    <row r="42" spans="1:13">
      <c r="A42">
        <v>41</v>
      </c>
      <c r="B42" s="131" t="s">
        <v>242</v>
      </c>
      <c r="C42" s="131" t="s">
        <v>243</v>
      </c>
      <c r="D42" s="131" t="s">
        <v>7</v>
      </c>
      <c r="E42" s="131" t="s">
        <v>241</v>
      </c>
      <c r="F42" s="132">
        <v>44542</v>
      </c>
      <c r="G42" s="131" t="s">
        <v>35</v>
      </c>
      <c r="H42" s="131" t="s">
        <v>8</v>
      </c>
      <c r="I42" s="132"/>
      <c r="J42" s="131" t="s">
        <v>154</v>
      </c>
      <c r="K42" s="131" t="str">
        <f>J42&amp;COUNTIF($J$2:J42,J42)</f>
        <v>المكشفين41</v>
      </c>
      <c r="L42" s="131"/>
      <c r="M42" s="131" t="e">
        <f t="shared" si="0"/>
        <v>#N/A</v>
      </c>
    </row>
    <row r="43" spans="1:13">
      <c r="A43">
        <v>42</v>
      </c>
      <c r="B43" s="131" t="s">
        <v>244</v>
      </c>
      <c r="C43" s="131" t="s">
        <v>245</v>
      </c>
      <c r="D43" s="131" t="s">
        <v>7</v>
      </c>
      <c r="E43" s="131" t="s">
        <v>241</v>
      </c>
      <c r="F43" s="132">
        <v>44542</v>
      </c>
      <c r="G43" s="131" t="s">
        <v>35</v>
      </c>
      <c r="H43" s="131" t="s">
        <v>27</v>
      </c>
      <c r="I43" s="132"/>
      <c r="J43" s="131" t="s">
        <v>154</v>
      </c>
      <c r="K43" s="131" t="str">
        <f>J43&amp;COUNTIF($J$2:J43,J43)</f>
        <v>المكشفين42</v>
      </c>
      <c r="L43" s="131"/>
      <c r="M43" s="131" t="e">
        <f t="shared" si="0"/>
        <v>#N/A</v>
      </c>
    </row>
    <row r="44" spans="1:13">
      <c r="A44">
        <v>43</v>
      </c>
      <c r="B44" s="131" t="s">
        <v>246</v>
      </c>
      <c r="C44" s="131" t="s">
        <v>247</v>
      </c>
      <c r="D44" s="131" t="s">
        <v>7</v>
      </c>
      <c r="E44" s="131" t="s">
        <v>241</v>
      </c>
      <c r="F44" s="132">
        <v>44542</v>
      </c>
      <c r="G44" s="131" t="s">
        <v>35</v>
      </c>
      <c r="H44" s="131" t="s">
        <v>8</v>
      </c>
      <c r="I44" s="132"/>
      <c r="J44" s="131" t="s">
        <v>154</v>
      </c>
      <c r="K44" s="131" t="str">
        <f>J44&amp;COUNTIF($J$2:J44,J44)</f>
        <v>المكشفين43</v>
      </c>
      <c r="L44" s="131"/>
      <c r="M44" s="131" t="e">
        <f t="shared" si="0"/>
        <v>#N/A</v>
      </c>
    </row>
    <row r="45" spans="1:13">
      <c r="A45">
        <v>44</v>
      </c>
      <c r="B45" s="131" t="s">
        <v>248</v>
      </c>
      <c r="C45" s="131" t="s">
        <v>249</v>
      </c>
      <c r="D45" s="131" t="s">
        <v>7</v>
      </c>
      <c r="E45" s="131" t="s">
        <v>241</v>
      </c>
      <c r="F45" s="132">
        <v>44542</v>
      </c>
      <c r="G45" s="131" t="s">
        <v>35</v>
      </c>
      <c r="H45" s="131" t="s">
        <v>27</v>
      </c>
      <c r="I45" s="132"/>
      <c r="J45" s="131" t="s">
        <v>154</v>
      </c>
      <c r="K45" s="131" t="str">
        <f>J45&amp;COUNTIF($J$2:J45,J45)</f>
        <v>المكشفين44</v>
      </c>
      <c r="L45" s="131"/>
      <c r="M45" s="131" t="e">
        <f t="shared" si="0"/>
        <v>#N/A</v>
      </c>
    </row>
    <row r="46" spans="1:13">
      <c r="A46">
        <v>45</v>
      </c>
      <c r="B46" s="131" t="s">
        <v>250</v>
      </c>
      <c r="C46" s="131" t="s">
        <v>251</v>
      </c>
      <c r="D46" s="131" t="s">
        <v>7</v>
      </c>
      <c r="E46" s="131" t="s">
        <v>241</v>
      </c>
      <c r="F46" s="132">
        <v>44542</v>
      </c>
      <c r="G46" s="131" t="s">
        <v>35</v>
      </c>
      <c r="H46" s="131" t="s">
        <v>27</v>
      </c>
      <c r="I46" s="132"/>
      <c r="J46" s="131" t="s">
        <v>154</v>
      </c>
      <c r="K46" s="131" t="str">
        <f>J46&amp;COUNTIF($J$2:J46,J46)</f>
        <v>المكشفين45</v>
      </c>
      <c r="L46" s="131"/>
      <c r="M46" s="131" t="e">
        <f t="shared" si="0"/>
        <v>#N/A</v>
      </c>
    </row>
    <row r="47" spans="1:13">
      <c r="A47">
        <v>46</v>
      </c>
      <c r="B47" s="131" t="s">
        <v>252</v>
      </c>
      <c r="C47" s="131" t="s">
        <v>253</v>
      </c>
      <c r="D47" s="131" t="s">
        <v>7</v>
      </c>
      <c r="E47" s="131" t="s">
        <v>241</v>
      </c>
      <c r="F47" s="132">
        <v>44542</v>
      </c>
      <c r="G47" s="131" t="s">
        <v>35</v>
      </c>
      <c r="H47" s="131" t="s">
        <v>8</v>
      </c>
      <c r="I47" s="132"/>
      <c r="J47" s="131" t="s">
        <v>154</v>
      </c>
      <c r="K47" s="131" t="str">
        <f>J47&amp;COUNTIF($J$2:J47,J47)</f>
        <v>المكشفين46</v>
      </c>
      <c r="L47" s="131"/>
      <c r="M47" s="131" t="e">
        <f t="shared" si="0"/>
        <v>#N/A</v>
      </c>
    </row>
    <row r="48" spans="1:13">
      <c r="A48">
        <v>47</v>
      </c>
      <c r="B48" s="131" t="s">
        <v>254</v>
      </c>
      <c r="C48" s="131" t="s">
        <v>255</v>
      </c>
      <c r="D48" s="131" t="s">
        <v>7</v>
      </c>
      <c r="E48" s="131" t="s">
        <v>241</v>
      </c>
      <c r="F48" s="132">
        <v>44542</v>
      </c>
      <c r="G48" s="131" t="s">
        <v>35</v>
      </c>
      <c r="H48" s="131" t="s">
        <v>8</v>
      </c>
      <c r="I48" s="132"/>
      <c r="J48" s="131" t="s">
        <v>154</v>
      </c>
      <c r="K48" s="131" t="str">
        <f>J48&amp;COUNTIF($J$2:J48,J48)</f>
        <v>المكشفين47</v>
      </c>
      <c r="L48" s="131"/>
      <c r="M48" s="131" t="e">
        <f t="shared" si="0"/>
        <v>#N/A</v>
      </c>
    </row>
    <row r="49" spans="1:13">
      <c r="A49">
        <v>48</v>
      </c>
      <c r="B49" s="131" t="s">
        <v>256</v>
      </c>
      <c r="C49" s="131" t="s">
        <v>257</v>
      </c>
      <c r="D49" s="131" t="s">
        <v>7</v>
      </c>
      <c r="E49" s="131" t="s">
        <v>241</v>
      </c>
      <c r="F49" s="132">
        <v>44542</v>
      </c>
      <c r="G49" s="131" t="s">
        <v>26</v>
      </c>
      <c r="H49" s="131" t="s">
        <v>27</v>
      </c>
      <c r="I49" s="132"/>
      <c r="J49" s="131" t="s">
        <v>154</v>
      </c>
      <c r="K49" s="131" t="str">
        <f>J49&amp;COUNTIF($J$2:J49,J49)</f>
        <v>المكشفين48</v>
      </c>
      <c r="L49" s="131"/>
      <c r="M49" s="131" t="e">
        <f t="shared" si="0"/>
        <v>#N/A</v>
      </c>
    </row>
    <row r="50" spans="1:13">
      <c r="A50">
        <v>49</v>
      </c>
      <c r="B50" s="131" t="s">
        <v>258</v>
      </c>
      <c r="C50" s="131" t="s">
        <v>259</v>
      </c>
      <c r="D50" s="131" t="s">
        <v>7</v>
      </c>
      <c r="E50" s="131" t="s">
        <v>241</v>
      </c>
      <c r="F50" s="132">
        <v>44542</v>
      </c>
      <c r="G50" s="131" t="s">
        <v>26</v>
      </c>
      <c r="H50" s="131" t="s">
        <v>8</v>
      </c>
      <c r="I50" s="132"/>
      <c r="J50" s="131" t="s">
        <v>154</v>
      </c>
      <c r="K50" s="131" t="str">
        <f>J50&amp;COUNTIF($J$2:J50,J50)</f>
        <v>المكشفين49</v>
      </c>
      <c r="L50" s="131"/>
      <c r="M50" s="131" t="e">
        <f t="shared" si="0"/>
        <v>#N/A</v>
      </c>
    </row>
    <row r="51" spans="1:13">
      <c r="A51">
        <v>50</v>
      </c>
      <c r="B51" s="131" t="s">
        <v>260</v>
      </c>
      <c r="C51" s="131" t="s">
        <v>261</v>
      </c>
      <c r="D51" s="131" t="s">
        <v>7</v>
      </c>
      <c r="E51" s="131" t="s">
        <v>241</v>
      </c>
      <c r="F51" s="132">
        <v>44542</v>
      </c>
      <c r="G51" s="131" t="s">
        <v>26</v>
      </c>
      <c r="H51" s="131" t="s">
        <v>8</v>
      </c>
      <c r="I51" s="132"/>
      <c r="J51" s="131" t="s">
        <v>154</v>
      </c>
      <c r="K51" s="131" t="str">
        <f>J51&amp;COUNTIF($J$2:J51,J51)</f>
        <v>المكشفين50</v>
      </c>
      <c r="L51" s="131"/>
      <c r="M51" s="131" t="e">
        <f t="shared" si="0"/>
        <v>#N/A</v>
      </c>
    </row>
    <row r="52" spans="1:13">
      <c r="A52">
        <v>51</v>
      </c>
      <c r="B52" s="131" t="s">
        <v>262</v>
      </c>
      <c r="C52" s="131" t="s">
        <v>263</v>
      </c>
      <c r="D52" s="131" t="s">
        <v>7</v>
      </c>
      <c r="E52" s="131" t="s">
        <v>241</v>
      </c>
      <c r="F52" s="132">
        <v>44542</v>
      </c>
      <c r="G52" s="131" t="s">
        <v>35</v>
      </c>
      <c r="H52" s="131" t="s">
        <v>8</v>
      </c>
      <c r="I52" s="132"/>
      <c r="J52" s="131" t="s">
        <v>154</v>
      </c>
      <c r="K52" s="131" t="str">
        <f>J52&amp;COUNTIF($J$2:J52,J52)</f>
        <v>المكشفين51</v>
      </c>
      <c r="L52" s="131"/>
      <c r="M52" s="131" t="e">
        <f t="shared" si="0"/>
        <v>#N/A</v>
      </c>
    </row>
    <row r="53" spans="1:13">
      <c r="A53">
        <v>52</v>
      </c>
      <c r="B53" s="131" t="s">
        <v>264</v>
      </c>
      <c r="C53" s="131" t="s">
        <v>265</v>
      </c>
      <c r="D53" s="131" t="s">
        <v>7</v>
      </c>
      <c r="E53" s="131" t="s">
        <v>266</v>
      </c>
      <c r="F53" s="132">
        <v>44544</v>
      </c>
      <c r="G53" s="131" t="s">
        <v>26</v>
      </c>
      <c r="H53" s="131" t="s">
        <v>27</v>
      </c>
      <c r="I53" s="132"/>
      <c r="J53" s="131" t="s">
        <v>154</v>
      </c>
      <c r="K53" s="131" t="str">
        <f>J53&amp;COUNTIF($J$2:J53,J53)</f>
        <v>المكشفين52</v>
      </c>
      <c r="L53" s="131"/>
      <c r="M53" s="131" t="e">
        <f t="shared" si="0"/>
        <v>#N/A</v>
      </c>
    </row>
    <row r="54" spans="1:13">
      <c r="A54">
        <v>53</v>
      </c>
      <c r="B54" s="131" t="s">
        <v>267</v>
      </c>
      <c r="C54" s="131" t="s">
        <v>268</v>
      </c>
      <c r="D54" s="131" t="s">
        <v>7</v>
      </c>
      <c r="E54" s="131" t="s">
        <v>266</v>
      </c>
      <c r="F54" s="132">
        <v>44545</v>
      </c>
      <c r="G54" s="131" t="s">
        <v>26</v>
      </c>
      <c r="H54" s="131" t="s">
        <v>8</v>
      </c>
      <c r="I54" s="132"/>
      <c r="J54" s="131" t="s">
        <v>154</v>
      </c>
      <c r="K54" s="131" t="str">
        <f>J54&amp;COUNTIF($J$2:J54,J54)</f>
        <v>المكشفين53</v>
      </c>
      <c r="L54" s="131"/>
      <c r="M54" s="131" t="e">
        <f t="shared" si="0"/>
        <v>#N/A</v>
      </c>
    </row>
    <row r="55" spans="1:13">
      <c r="A55">
        <v>54</v>
      </c>
      <c r="B55" s="131" t="s">
        <v>269</v>
      </c>
      <c r="C55" s="131" t="s">
        <v>270</v>
      </c>
      <c r="D55" s="131" t="s">
        <v>7</v>
      </c>
      <c r="E55" s="131" t="s">
        <v>266</v>
      </c>
      <c r="F55" s="132">
        <v>44550</v>
      </c>
      <c r="G55" s="131" t="s">
        <v>26</v>
      </c>
      <c r="H55" s="131" t="s">
        <v>8</v>
      </c>
      <c r="I55" s="132"/>
      <c r="J55" s="131" t="s">
        <v>154</v>
      </c>
      <c r="K55" s="131" t="str">
        <f>J55&amp;COUNTIF($J$2:J55,J55)</f>
        <v>المكشفين54</v>
      </c>
      <c r="L55" s="131"/>
      <c r="M55" s="131" t="e">
        <f t="shared" si="0"/>
        <v>#N/A</v>
      </c>
    </row>
    <row r="56" spans="1:13">
      <c r="A56">
        <v>55</v>
      </c>
      <c r="B56" s="131" t="s">
        <v>271</v>
      </c>
      <c r="C56" s="131" t="s">
        <v>272</v>
      </c>
      <c r="D56" s="131" t="s">
        <v>7</v>
      </c>
      <c r="E56" s="131" t="s">
        <v>266</v>
      </c>
      <c r="F56" s="132">
        <v>44544</v>
      </c>
      <c r="G56" s="131" t="s">
        <v>26</v>
      </c>
      <c r="H56" s="131" t="s">
        <v>8</v>
      </c>
      <c r="I56" s="132"/>
      <c r="J56" s="131" t="s">
        <v>154</v>
      </c>
      <c r="K56" s="131" t="str">
        <f>J56&amp;COUNTIF($J$2:J56,J56)</f>
        <v>المكشفين55</v>
      </c>
      <c r="L56" s="131"/>
      <c r="M56" s="131" t="e">
        <f t="shared" si="0"/>
        <v>#N/A</v>
      </c>
    </row>
    <row r="57" spans="1:13">
      <c r="A57">
        <v>56</v>
      </c>
      <c r="B57" s="131" t="s">
        <v>273</v>
      </c>
      <c r="C57" s="131" t="s">
        <v>274</v>
      </c>
      <c r="D57" s="131" t="s">
        <v>7</v>
      </c>
      <c r="E57" s="131" t="s">
        <v>266</v>
      </c>
      <c r="F57" s="132">
        <v>44544</v>
      </c>
      <c r="G57" s="131" t="s">
        <v>26</v>
      </c>
      <c r="H57" s="131" t="s">
        <v>8</v>
      </c>
      <c r="I57" s="132"/>
      <c r="J57" s="131" t="s">
        <v>154</v>
      </c>
      <c r="K57" s="131" t="str">
        <f>J57&amp;COUNTIF($J$2:J57,J57)</f>
        <v>المكشفين56</v>
      </c>
      <c r="L57" s="131"/>
      <c r="M57" s="131" t="e">
        <f t="shared" si="0"/>
        <v>#N/A</v>
      </c>
    </row>
    <row r="58" spans="1:13">
      <c r="A58">
        <v>57</v>
      </c>
      <c r="B58" s="131" t="s">
        <v>275</v>
      </c>
      <c r="C58" s="131" t="s">
        <v>276</v>
      </c>
      <c r="D58" s="131" t="s">
        <v>7</v>
      </c>
      <c r="E58" s="131" t="s">
        <v>277</v>
      </c>
      <c r="F58" s="132">
        <v>44552</v>
      </c>
      <c r="G58" s="131" t="s">
        <v>35</v>
      </c>
      <c r="H58" s="131" t="s">
        <v>27</v>
      </c>
      <c r="I58" s="132"/>
      <c r="J58" s="131" t="s">
        <v>154</v>
      </c>
      <c r="K58" s="131" t="str">
        <f>J58&amp;COUNTIF($J$2:J58,J58)</f>
        <v>المكشفين57</v>
      </c>
      <c r="L58" s="131"/>
      <c r="M58" s="131" t="e">
        <f t="shared" si="0"/>
        <v>#N/A</v>
      </c>
    </row>
    <row r="59" spans="1:13">
      <c r="A59">
        <v>59</v>
      </c>
      <c r="B59" s="131" t="s">
        <v>278</v>
      </c>
      <c r="C59" s="131" t="s">
        <v>279</v>
      </c>
      <c r="D59" s="131" t="s">
        <v>7</v>
      </c>
      <c r="E59" s="131" t="s">
        <v>280</v>
      </c>
      <c r="F59" s="132">
        <v>44557</v>
      </c>
      <c r="G59" s="131" t="s">
        <v>26</v>
      </c>
      <c r="H59" s="131" t="s">
        <v>27</v>
      </c>
      <c r="I59" s="132"/>
      <c r="J59" s="131" t="s">
        <v>154</v>
      </c>
      <c r="K59" s="131" t="str">
        <f>J59&amp;COUNTIF($J$2:J59,J59)</f>
        <v>المكشفين58</v>
      </c>
      <c r="L59" s="131"/>
      <c r="M59" s="131" t="e">
        <f t="shared" si="0"/>
        <v>#N/A</v>
      </c>
    </row>
    <row r="60" spans="1:13">
      <c r="A60">
        <v>60</v>
      </c>
      <c r="B60" s="131" t="s">
        <v>281</v>
      </c>
      <c r="C60" s="131" t="s">
        <v>282</v>
      </c>
      <c r="D60" s="131" t="s">
        <v>7</v>
      </c>
      <c r="E60" s="131" t="s">
        <v>280</v>
      </c>
      <c r="F60" s="132">
        <v>44556</v>
      </c>
      <c r="G60" s="131" t="s">
        <v>35</v>
      </c>
      <c r="H60" s="131" t="s">
        <v>8</v>
      </c>
      <c r="I60" s="132"/>
      <c r="J60" s="131" t="s">
        <v>154</v>
      </c>
      <c r="K60" s="131" t="str">
        <f>J60&amp;COUNTIF($J$2:J60,J60)</f>
        <v>المكشفين59</v>
      </c>
      <c r="L60" s="131"/>
      <c r="M60" s="131" t="e">
        <f t="shared" si="0"/>
        <v>#N/A</v>
      </c>
    </row>
    <row r="61" spans="1:13">
      <c r="A61">
        <v>61</v>
      </c>
      <c r="B61" s="131" t="s">
        <v>283</v>
      </c>
      <c r="C61" s="131" t="s">
        <v>284</v>
      </c>
      <c r="D61" s="131" t="s">
        <v>7</v>
      </c>
      <c r="E61" s="131" t="s">
        <v>280</v>
      </c>
      <c r="F61" s="132">
        <v>44556</v>
      </c>
      <c r="G61" s="131" t="s">
        <v>26</v>
      </c>
      <c r="H61" s="131" t="s">
        <v>8</v>
      </c>
      <c r="I61" s="132"/>
      <c r="J61" s="131" t="s">
        <v>154</v>
      </c>
      <c r="K61" s="131" t="str">
        <f>J61&amp;COUNTIF($J$2:J61,J61)</f>
        <v>المكشفين60</v>
      </c>
      <c r="L61" s="131"/>
      <c r="M61" s="131" t="e">
        <f t="shared" si="0"/>
        <v>#N/A</v>
      </c>
    </row>
    <row r="62" spans="1:13">
      <c r="A62">
        <v>62</v>
      </c>
      <c r="B62" s="131" t="s">
        <v>285</v>
      </c>
      <c r="C62" s="131" t="s">
        <v>286</v>
      </c>
      <c r="D62" s="131" t="s">
        <v>7</v>
      </c>
      <c r="E62" s="131" t="s">
        <v>280</v>
      </c>
      <c r="F62" s="132">
        <v>44556</v>
      </c>
      <c r="G62" s="131" t="s">
        <v>26</v>
      </c>
      <c r="H62" s="131" t="s">
        <v>8</v>
      </c>
      <c r="I62" s="132"/>
      <c r="J62" s="131" t="s">
        <v>154</v>
      </c>
      <c r="K62" s="131" t="str">
        <f>J62&amp;COUNTIF($J$2:J62,J62)</f>
        <v>المكشفين61</v>
      </c>
      <c r="L62" s="131"/>
      <c r="M62" s="131" t="e">
        <f t="shared" si="0"/>
        <v>#N/A</v>
      </c>
    </row>
    <row r="63" spans="1:13">
      <c r="A63">
        <v>63</v>
      </c>
      <c r="B63" s="131" t="s">
        <v>287</v>
      </c>
      <c r="C63" s="131" t="s">
        <v>288</v>
      </c>
      <c r="D63" s="131" t="s">
        <v>7</v>
      </c>
      <c r="E63" s="131" t="s">
        <v>289</v>
      </c>
      <c r="F63" s="132">
        <v>44557</v>
      </c>
      <c r="G63" s="131" t="s">
        <v>35</v>
      </c>
      <c r="H63" s="131" t="s">
        <v>27</v>
      </c>
      <c r="I63" s="132"/>
      <c r="J63" s="131" t="s">
        <v>154</v>
      </c>
      <c r="K63" s="131" t="str">
        <f>J63&amp;COUNTIF($J$2:J63,J63)</f>
        <v>المكشفين62</v>
      </c>
      <c r="L63" s="131"/>
      <c r="M63" s="131" t="e">
        <f t="shared" si="0"/>
        <v>#N/A</v>
      </c>
    </row>
    <row r="64" spans="1:13">
      <c r="A64">
        <v>64</v>
      </c>
      <c r="B64" s="131" t="s">
        <v>290</v>
      </c>
      <c r="C64" s="131" t="s">
        <v>291</v>
      </c>
      <c r="D64" s="131" t="s">
        <v>7</v>
      </c>
      <c r="E64" s="131" t="s">
        <v>292</v>
      </c>
      <c r="F64" s="132">
        <v>44558</v>
      </c>
      <c r="G64" s="131" t="s">
        <v>26</v>
      </c>
      <c r="H64" s="131" t="s">
        <v>8</v>
      </c>
      <c r="I64" s="132"/>
      <c r="J64" s="131" t="s">
        <v>154</v>
      </c>
      <c r="K64" s="131" t="str">
        <f>J64&amp;COUNTIF($J$2:J64,J64)</f>
        <v>المكشفين63</v>
      </c>
      <c r="L64" s="131"/>
      <c r="M64" s="131" t="e">
        <f t="shared" si="0"/>
        <v>#N/A</v>
      </c>
    </row>
    <row r="65" spans="1:13">
      <c r="A65">
        <v>65</v>
      </c>
      <c r="B65" s="131" t="s">
        <v>293</v>
      </c>
      <c r="C65" s="131" t="s">
        <v>294</v>
      </c>
      <c r="D65" s="131" t="s">
        <v>7</v>
      </c>
      <c r="E65" s="131" t="s">
        <v>295</v>
      </c>
      <c r="F65" s="132">
        <v>44560</v>
      </c>
      <c r="G65" s="131" t="s">
        <v>26</v>
      </c>
      <c r="H65" s="131" t="s">
        <v>27</v>
      </c>
      <c r="I65" s="132"/>
      <c r="J65" s="131" t="s">
        <v>154</v>
      </c>
      <c r="K65" s="131" t="str">
        <f>J65&amp;COUNTIF($J$2:J65,J65)</f>
        <v>المكشفين64</v>
      </c>
      <c r="L65" s="131"/>
      <c r="M65" s="131" t="e">
        <f t="shared" si="0"/>
        <v>#N/A</v>
      </c>
    </row>
    <row r="66" spans="1:13">
      <c r="A66">
        <v>67</v>
      </c>
      <c r="B66" s="131" t="s">
        <v>296</v>
      </c>
      <c r="C66" s="131" t="s">
        <v>297</v>
      </c>
      <c r="D66" s="131" t="s">
        <v>7</v>
      </c>
      <c r="E66" s="131" t="s">
        <v>295</v>
      </c>
      <c r="F66" s="132">
        <v>44571</v>
      </c>
      <c r="G66" s="131" t="s">
        <v>26</v>
      </c>
      <c r="H66" s="131" t="s">
        <v>8</v>
      </c>
      <c r="I66" s="132"/>
      <c r="J66" s="131" t="s">
        <v>154</v>
      </c>
      <c r="K66" s="131" t="str">
        <f>J66&amp;COUNTIF($J$2:J66,J66)</f>
        <v>المكشفين65</v>
      </c>
      <c r="L66" s="131"/>
      <c r="M66" s="131" t="e">
        <f t="shared" ref="M66:M129" si="1">VLOOKUP($L$2&amp;ROW()-2,$A$2:$J$250,MATCH($M65,B66,0),FALSE)</f>
        <v>#N/A</v>
      </c>
    </row>
    <row r="67" spans="1:13">
      <c r="A67">
        <v>68</v>
      </c>
      <c r="B67" s="131" t="s">
        <v>298</v>
      </c>
      <c r="C67" s="131" t="s">
        <v>299</v>
      </c>
      <c r="D67" s="131" t="s">
        <v>7</v>
      </c>
      <c r="E67" s="131" t="s">
        <v>295</v>
      </c>
      <c r="F67" s="132">
        <v>44565</v>
      </c>
      <c r="G67" s="131" t="s">
        <v>35</v>
      </c>
      <c r="H67" s="131" t="s">
        <v>8</v>
      </c>
      <c r="I67" s="132"/>
      <c r="J67" s="131" t="s">
        <v>154</v>
      </c>
      <c r="K67" s="131" t="str">
        <f>J67&amp;COUNTIF($J$2:J67,J67)</f>
        <v>المكشفين66</v>
      </c>
      <c r="L67" s="131"/>
      <c r="M67" s="131" t="e">
        <f t="shared" si="1"/>
        <v>#N/A</v>
      </c>
    </row>
    <row r="68" spans="1:13">
      <c r="A68">
        <v>69</v>
      </c>
      <c r="B68" s="131" t="s">
        <v>300</v>
      </c>
      <c r="C68" s="131" t="s">
        <v>301</v>
      </c>
      <c r="D68" s="131" t="s">
        <v>7</v>
      </c>
      <c r="E68" s="131" t="s">
        <v>295</v>
      </c>
      <c r="F68" s="132">
        <v>44570</v>
      </c>
      <c r="G68" s="131" t="s">
        <v>26</v>
      </c>
      <c r="H68" s="131" t="s">
        <v>8</v>
      </c>
      <c r="I68" s="132"/>
      <c r="J68" s="131" t="s">
        <v>154</v>
      </c>
      <c r="K68" s="131" t="str">
        <f>J68&amp;COUNTIF($J$2:J68,J68)</f>
        <v>المكشفين67</v>
      </c>
      <c r="L68" s="131"/>
      <c r="M68" s="131" t="e">
        <f t="shared" si="1"/>
        <v>#N/A</v>
      </c>
    </row>
    <row r="69" spans="1:13">
      <c r="A69">
        <v>70</v>
      </c>
      <c r="B69" s="131" t="s">
        <v>302</v>
      </c>
      <c r="C69" s="131" t="s">
        <v>303</v>
      </c>
      <c r="D69" s="131" t="s">
        <v>7</v>
      </c>
      <c r="E69" s="131" t="s">
        <v>295</v>
      </c>
      <c r="F69" s="132">
        <v>44560</v>
      </c>
      <c r="G69" s="131" t="s">
        <v>26</v>
      </c>
      <c r="H69" s="131" t="s">
        <v>27</v>
      </c>
      <c r="I69" s="132"/>
      <c r="J69" s="131" t="s">
        <v>154</v>
      </c>
      <c r="K69" s="131" t="str">
        <f>J69&amp;COUNTIF($J$2:J69,J69)</f>
        <v>المكشفين68</v>
      </c>
      <c r="L69" s="131"/>
      <c r="M69" s="131" t="e">
        <f t="shared" si="1"/>
        <v>#N/A</v>
      </c>
    </row>
    <row r="70" spans="1:13">
      <c r="A70">
        <v>71</v>
      </c>
      <c r="B70" s="131" t="s">
        <v>304</v>
      </c>
      <c r="C70" s="131" t="s">
        <v>305</v>
      </c>
      <c r="D70" s="131" t="s">
        <v>7</v>
      </c>
      <c r="E70" s="131" t="s">
        <v>306</v>
      </c>
      <c r="F70" s="132">
        <v>44563</v>
      </c>
      <c r="G70" s="131" t="s">
        <v>26</v>
      </c>
      <c r="H70" s="131" t="s">
        <v>27</v>
      </c>
      <c r="I70" s="132"/>
      <c r="J70" s="131" t="s">
        <v>154</v>
      </c>
      <c r="K70" s="131" t="str">
        <f>J70&amp;COUNTIF($J$2:J70,J70)</f>
        <v>المكشفين69</v>
      </c>
      <c r="L70" s="131"/>
      <c r="M70" s="131" t="e">
        <f t="shared" si="1"/>
        <v>#N/A</v>
      </c>
    </row>
    <row r="71" spans="1:13">
      <c r="A71">
        <v>72</v>
      </c>
      <c r="B71" s="131" t="s">
        <v>307</v>
      </c>
      <c r="C71" s="131" t="s">
        <v>308</v>
      </c>
      <c r="D71" s="131" t="s">
        <v>7</v>
      </c>
      <c r="E71" s="131" t="s">
        <v>306</v>
      </c>
      <c r="F71" s="132">
        <v>44563</v>
      </c>
      <c r="G71" s="131" t="s">
        <v>26</v>
      </c>
      <c r="H71" s="131" t="s">
        <v>8</v>
      </c>
      <c r="I71" s="132"/>
      <c r="J71" s="131" t="s">
        <v>154</v>
      </c>
      <c r="K71" s="131" t="str">
        <f>J71&amp;COUNTIF($J$2:J71,J71)</f>
        <v>المكشفين70</v>
      </c>
      <c r="L71" s="131"/>
      <c r="M71" s="131" t="e">
        <f t="shared" si="1"/>
        <v>#N/A</v>
      </c>
    </row>
    <row r="72" spans="1:13">
      <c r="A72">
        <v>73</v>
      </c>
      <c r="B72" s="131" t="s">
        <v>309</v>
      </c>
      <c r="C72" s="131" t="s">
        <v>310</v>
      </c>
      <c r="D72" s="131" t="s">
        <v>7</v>
      </c>
      <c r="E72" s="131" t="s">
        <v>306</v>
      </c>
      <c r="F72" s="132">
        <v>44563</v>
      </c>
      <c r="G72" s="131" t="s">
        <v>35</v>
      </c>
      <c r="H72" s="131" t="s">
        <v>8</v>
      </c>
      <c r="I72" s="132"/>
      <c r="J72" s="131" t="s">
        <v>154</v>
      </c>
      <c r="K72" s="131" t="str">
        <f>J72&amp;COUNTIF($J$2:J72,J72)</f>
        <v>المكشفين71</v>
      </c>
      <c r="L72" s="131"/>
      <c r="M72" s="131" t="e">
        <f t="shared" si="1"/>
        <v>#N/A</v>
      </c>
    </row>
    <row r="73" spans="1:13">
      <c r="A73">
        <v>74</v>
      </c>
      <c r="B73" s="131" t="s">
        <v>311</v>
      </c>
      <c r="C73" s="131" t="s">
        <v>312</v>
      </c>
      <c r="D73" s="131" t="s">
        <v>7</v>
      </c>
      <c r="E73" s="131" t="s">
        <v>306</v>
      </c>
      <c r="F73" s="132">
        <v>44563</v>
      </c>
      <c r="G73" s="131" t="s">
        <v>35</v>
      </c>
      <c r="H73" s="131" t="s">
        <v>8</v>
      </c>
      <c r="I73" s="132"/>
      <c r="J73" s="131" t="s">
        <v>154</v>
      </c>
      <c r="K73" s="131" t="str">
        <f>J73&amp;COUNTIF($J$2:J73,J73)</f>
        <v>المكشفين72</v>
      </c>
      <c r="L73" s="131"/>
      <c r="M73" s="131" t="e">
        <f t="shared" si="1"/>
        <v>#N/A</v>
      </c>
    </row>
    <row r="74" spans="1:13">
      <c r="A74">
        <v>75</v>
      </c>
      <c r="B74" s="131" t="s">
        <v>313</v>
      </c>
      <c r="C74" s="131" t="s">
        <v>314</v>
      </c>
      <c r="D74" s="131" t="s">
        <v>7</v>
      </c>
      <c r="E74" s="131" t="s">
        <v>306</v>
      </c>
      <c r="F74" s="132">
        <v>44563</v>
      </c>
      <c r="G74" s="131" t="s">
        <v>35</v>
      </c>
      <c r="H74" s="131" t="s">
        <v>8</v>
      </c>
      <c r="I74" s="132"/>
      <c r="J74" s="131" t="s">
        <v>154</v>
      </c>
      <c r="K74" s="131" t="str">
        <f>J74&amp;COUNTIF($J$2:J74,J74)</f>
        <v>المكشفين73</v>
      </c>
      <c r="L74" s="131"/>
      <c r="M74" s="131" t="e">
        <f t="shared" si="1"/>
        <v>#N/A</v>
      </c>
    </row>
    <row r="75" spans="1:13">
      <c r="A75">
        <v>76</v>
      </c>
      <c r="B75" s="131" t="s">
        <v>315</v>
      </c>
      <c r="C75" s="131" t="s">
        <v>316</v>
      </c>
      <c r="D75" s="131" t="s">
        <v>7</v>
      </c>
      <c r="E75" s="131" t="s">
        <v>306</v>
      </c>
      <c r="F75" s="132">
        <v>44563</v>
      </c>
      <c r="G75" s="131" t="s">
        <v>35</v>
      </c>
      <c r="H75" s="131" t="s">
        <v>8</v>
      </c>
      <c r="I75" s="132"/>
      <c r="J75" s="131" t="s">
        <v>154</v>
      </c>
      <c r="K75" s="131" t="str">
        <f>J75&amp;COUNTIF($J$2:J75,J75)</f>
        <v>المكشفين74</v>
      </c>
      <c r="L75" s="131"/>
      <c r="M75" s="131" t="e">
        <f t="shared" si="1"/>
        <v>#N/A</v>
      </c>
    </row>
    <row r="76" spans="1:13">
      <c r="A76">
        <v>77</v>
      </c>
      <c r="B76" s="131" t="s">
        <v>317</v>
      </c>
      <c r="C76" s="131" t="s">
        <v>318</v>
      </c>
      <c r="D76" s="131" t="s">
        <v>7</v>
      </c>
      <c r="E76" s="131" t="s">
        <v>306</v>
      </c>
      <c r="F76" s="132">
        <v>44563</v>
      </c>
      <c r="G76" s="131" t="s">
        <v>35</v>
      </c>
      <c r="H76" s="131" t="s">
        <v>8</v>
      </c>
      <c r="I76" s="132"/>
      <c r="J76" s="131" t="s">
        <v>154</v>
      </c>
      <c r="K76" s="131" t="str">
        <f>J76&amp;COUNTIF($J$2:J76,J76)</f>
        <v>المكشفين75</v>
      </c>
      <c r="L76" s="131"/>
      <c r="M76" s="131" t="e">
        <f t="shared" si="1"/>
        <v>#N/A</v>
      </c>
    </row>
    <row r="77" spans="1:13">
      <c r="A77">
        <v>78</v>
      </c>
      <c r="B77" s="131" t="s">
        <v>319</v>
      </c>
      <c r="C77" s="131" t="s">
        <v>320</v>
      </c>
      <c r="D77" s="131" t="s">
        <v>7</v>
      </c>
      <c r="E77" s="131" t="s">
        <v>306</v>
      </c>
      <c r="F77" s="132">
        <v>44563</v>
      </c>
      <c r="G77" s="131" t="s">
        <v>35</v>
      </c>
      <c r="H77" s="131" t="s">
        <v>8</v>
      </c>
      <c r="I77" s="132"/>
      <c r="J77" s="131" t="s">
        <v>154</v>
      </c>
      <c r="K77" s="131" t="str">
        <f>J77&amp;COUNTIF($J$2:J77,J77)</f>
        <v>المكشفين76</v>
      </c>
      <c r="L77" s="131"/>
      <c r="M77" s="131" t="e">
        <f t="shared" si="1"/>
        <v>#N/A</v>
      </c>
    </row>
    <row r="78" spans="1:13">
      <c r="A78">
        <v>79</v>
      </c>
      <c r="B78" s="131" t="s">
        <v>321</v>
      </c>
      <c r="C78" s="131" t="s">
        <v>322</v>
      </c>
      <c r="D78" s="131" t="s">
        <v>7</v>
      </c>
      <c r="E78" s="131" t="s">
        <v>323</v>
      </c>
      <c r="F78" s="132">
        <v>44564</v>
      </c>
      <c r="G78" s="131" t="s">
        <v>35</v>
      </c>
      <c r="H78" s="131" t="s">
        <v>8</v>
      </c>
      <c r="I78" s="132"/>
      <c r="J78" s="131" t="s">
        <v>154</v>
      </c>
      <c r="K78" s="131" t="str">
        <f>J78&amp;COUNTIF($J$2:J78,J78)</f>
        <v>المكشفين77</v>
      </c>
      <c r="L78" s="131"/>
      <c r="M78" s="131" t="e">
        <f t="shared" si="1"/>
        <v>#N/A</v>
      </c>
    </row>
    <row r="79" spans="1:13">
      <c r="A79">
        <v>80</v>
      </c>
      <c r="B79" s="131" t="s">
        <v>324</v>
      </c>
      <c r="C79" s="131" t="s">
        <v>325</v>
      </c>
      <c r="D79" s="131" t="s">
        <v>7</v>
      </c>
      <c r="E79" s="131" t="s">
        <v>326</v>
      </c>
      <c r="F79" s="132">
        <v>44577</v>
      </c>
      <c r="G79" s="131" t="s">
        <v>35</v>
      </c>
      <c r="H79" s="131" t="s">
        <v>8</v>
      </c>
      <c r="I79" s="132"/>
      <c r="J79" s="131" t="s">
        <v>154</v>
      </c>
      <c r="K79" s="131" t="str">
        <f>J79&amp;COUNTIF($J$2:J79,J79)</f>
        <v>المكشفين78</v>
      </c>
      <c r="L79" s="131"/>
      <c r="M79" s="131" t="e">
        <f t="shared" si="1"/>
        <v>#N/A</v>
      </c>
    </row>
    <row r="80" spans="1:13">
      <c r="A80">
        <v>81</v>
      </c>
      <c r="B80" s="131" t="s">
        <v>327</v>
      </c>
      <c r="C80" s="131" t="s">
        <v>328</v>
      </c>
      <c r="D80" s="131" t="s">
        <v>7</v>
      </c>
      <c r="E80" s="131" t="s">
        <v>323</v>
      </c>
      <c r="F80" s="132">
        <v>44564</v>
      </c>
      <c r="G80" s="131" t="s">
        <v>35</v>
      </c>
      <c r="H80" s="131" t="s">
        <v>8</v>
      </c>
      <c r="I80" s="132"/>
      <c r="J80" s="131" t="s">
        <v>154</v>
      </c>
      <c r="K80" s="131" t="str">
        <f>J80&amp;COUNTIF($J$2:J80,J80)</f>
        <v>المكشفين79</v>
      </c>
      <c r="L80" s="131"/>
      <c r="M80" s="131" t="e">
        <f t="shared" si="1"/>
        <v>#N/A</v>
      </c>
    </row>
    <row r="81" spans="1:13">
      <c r="A81">
        <v>82</v>
      </c>
      <c r="B81" s="131" t="s">
        <v>329</v>
      </c>
      <c r="C81" s="131" t="s">
        <v>330</v>
      </c>
      <c r="D81" s="131" t="s">
        <v>7</v>
      </c>
      <c r="E81" s="131" t="s">
        <v>323</v>
      </c>
      <c r="F81" s="132">
        <v>44564</v>
      </c>
      <c r="G81" s="131" t="s">
        <v>35</v>
      </c>
      <c r="H81" s="131" t="s">
        <v>27</v>
      </c>
      <c r="I81" s="132"/>
      <c r="J81" s="131" t="s">
        <v>154</v>
      </c>
      <c r="K81" s="131" t="str">
        <f>J81&amp;COUNTIF($J$2:J81,J81)</f>
        <v>المكشفين80</v>
      </c>
      <c r="L81" s="131"/>
      <c r="M81" s="131" t="e">
        <f t="shared" si="1"/>
        <v>#N/A</v>
      </c>
    </row>
    <row r="82" spans="1:13">
      <c r="A82">
        <v>83</v>
      </c>
      <c r="B82" s="131" t="s">
        <v>331</v>
      </c>
      <c r="C82" s="131" t="s">
        <v>332</v>
      </c>
      <c r="D82" s="131" t="s">
        <v>7</v>
      </c>
      <c r="E82" s="131" t="s">
        <v>323</v>
      </c>
      <c r="F82" s="132">
        <v>44564</v>
      </c>
      <c r="G82" s="131" t="s">
        <v>35</v>
      </c>
      <c r="H82" s="131" t="s">
        <v>8</v>
      </c>
      <c r="I82" s="132"/>
      <c r="J82" s="131" t="s">
        <v>154</v>
      </c>
      <c r="K82" s="131" t="str">
        <f>J82&amp;COUNTIF($J$2:J82,J82)</f>
        <v>المكشفين81</v>
      </c>
      <c r="L82" s="131"/>
      <c r="M82" s="131" t="e">
        <f t="shared" si="1"/>
        <v>#N/A</v>
      </c>
    </row>
    <row r="83" spans="1:13">
      <c r="A83">
        <v>84</v>
      </c>
      <c r="B83" s="131" t="s">
        <v>333</v>
      </c>
      <c r="C83" s="131" t="s">
        <v>334</v>
      </c>
      <c r="D83" s="131" t="s">
        <v>7</v>
      </c>
      <c r="E83" s="131" t="s">
        <v>323</v>
      </c>
      <c r="F83" s="132">
        <v>44564</v>
      </c>
      <c r="G83" s="131" t="s">
        <v>35</v>
      </c>
      <c r="H83" s="131" t="s">
        <v>8</v>
      </c>
      <c r="I83" s="132"/>
      <c r="J83" s="131" t="s">
        <v>154</v>
      </c>
      <c r="K83" s="131" t="str">
        <f>J83&amp;COUNTIF($J$2:J83,J83)</f>
        <v>المكشفين82</v>
      </c>
      <c r="L83" s="131"/>
      <c r="M83" s="131" t="e">
        <f t="shared" si="1"/>
        <v>#N/A</v>
      </c>
    </row>
    <row r="84" spans="1:13">
      <c r="A84">
        <v>85</v>
      </c>
      <c r="B84" s="131" t="s">
        <v>335</v>
      </c>
      <c r="C84" s="131" t="s">
        <v>336</v>
      </c>
      <c r="D84" s="131" t="s">
        <v>7</v>
      </c>
      <c r="E84" s="131" t="s">
        <v>337</v>
      </c>
      <c r="F84" s="132">
        <v>44565</v>
      </c>
      <c r="G84" s="131" t="s">
        <v>26</v>
      </c>
      <c r="H84" s="131" t="s">
        <v>27</v>
      </c>
      <c r="I84" s="132"/>
      <c r="J84" s="131" t="s">
        <v>154</v>
      </c>
      <c r="K84" s="131" t="str">
        <f>J84&amp;COUNTIF($J$2:J84,J84)</f>
        <v>المكشفين83</v>
      </c>
      <c r="L84" s="131"/>
      <c r="M84" s="131" t="e">
        <f t="shared" si="1"/>
        <v>#N/A</v>
      </c>
    </row>
    <row r="85" spans="1:13">
      <c r="A85">
        <v>86</v>
      </c>
      <c r="B85" s="131" t="s">
        <v>338</v>
      </c>
      <c r="C85" s="131" t="s">
        <v>339</v>
      </c>
      <c r="D85" s="131" t="s">
        <v>7</v>
      </c>
      <c r="E85" s="131" t="s">
        <v>337</v>
      </c>
      <c r="F85" s="132">
        <v>44565</v>
      </c>
      <c r="G85" s="131" t="s">
        <v>35</v>
      </c>
      <c r="H85" s="131" t="s">
        <v>27</v>
      </c>
      <c r="I85" s="132"/>
      <c r="J85" s="131" t="s">
        <v>154</v>
      </c>
      <c r="K85" s="131" t="str">
        <f>J85&amp;COUNTIF($J$2:J85,J85)</f>
        <v>المكشفين84</v>
      </c>
      <c r="L85" s="131"/>
      <c r="M85" s="131" t="e">
        <f t="shared" si="1"/>
        <v>#N/A</v>
      </c>
    </row>
    <row r="86" spans="1:13">
      <c r="A86">
        <v>87</v>
      </c>
      <c r="B86" s="131" t="s">
        <v>340</v>
      </c>
      <c r="C86" s="131" t="s">
        <v>341</v>
      </c>
      <c r="D86" s="131" t="s">
        <v>7</v>
      </c>
      <c r="E86" s="131" t="s">
        <v>337</v>
      </c>
      <c r="F86" s="132">
        <v>44565</v>
      </c>
      <c r="G86" s="131" t="s">
        <v>35</v>
      </c>
      <c r="H86" s="131" t="s">
        <v>8</v>
      </c>
      <c r="I86" s="132"/>
      <c r="J86" s="131" t="s">
        <v>154</v>
      </c>
      <c r="K86" s="131" t="str">
        <f>J86&amp;COUNTIF($J$2:J86,J86)</f>
        <v>المكشفين85</v>
      </c>
      <c r="L86" s="131"/>
      <c r="M86" s="131" t="e">
        <f t="shared" si="1"/>
        <v>#N/A</v>
      </c>
    </row>
    <row r="87" spans="1:13">
      <c r="A87">
        <v>88</v>
      </c>
      <c r="B87" s="131" t="s">
        <v>342</v>
      </c>
      <c r="C87" s="131" t="s">
        <v>343</v>
      </c>
      <c r="D87" s="131" t="s">
        <v>7</v>
      </c>
      <c r="E87" s="131" t="s">
        <v>337</v>
      </c>
      <c r="F87" s="132">
        <v>44565</v>
      </c>
      <c r="G87" s="131" t="s">
        <v>35</v>
      </c>
      <c r="H87" s="131" t="s">
        <v>8</v>
      </c>
      <c r="I87" s="132"/>
      <c r="J87" s="131" t="s">
        <v>154</v>
      </c>
      <c r="K87" s="131" t="str">
        <f>J87&amp;COUNTIF($J$2:J87,J87)</f>
        <v>المكشفين86</v>
      </c>
      <c r="L87" s="131"/>
      <c r="M87" s="131" t="e">
        <f t="shared" si="1"/>
        <v>#N/A</v>
      </c>
    </row>
    <row r="88" spans="1:13">
      <c r="A88">
        <v>89</v>
      </c>
      <c r="B88" s="131" t="s">
        <v>344</v>
      </c>
      <c r="C88" s="131" t="s">
        <v>345</v>
      </c>
      <c r="D88" s="131" t="s">
        <v>7</v>
      </c>
      <c r="E88" s="131" t="s">
        <v>337</v>
      </c>
      <c r="F88" s="132">
        <v>44565</v>
      </c>
      <c r="G88" s="131" t="s">
        <v>35</v>
      </c>
      <c r="H88" s="131" t="s">
        <v>8</v>
      </c>
      <c r="I88" s="132"/>
      <c r="J88" s="131" t="s">
        <v>154</v>
      </c>
      <c r="K88" s="131" t="str">
        <f>J88&amp;COUNTIF($J$2:J88,J88)</f>
        <v>المكشفين87</v>
      </c>
      <c r="L88" s="131"/>
      <c r="M88" s="131" t="e">
        <f t="shared" si="1"/>
        <v>#N/A</v>
      </c>
    </row>
    <row r="89" spans="1:13">
      <c r="A89">
        <v>90</v>
      </c>
      <c r="B89" s="131" t="s">
        <v>346</v>
      </c>
      <c r="C89" s="131" t="s">
        <v>347</v>
      </c>
      <c r="D89" s="131" t="s">
        <v>7</v>
      </c>
      <c r="E89" s="131" t="s">
        <v>337</v>
      </c>
      <c r="F89" s="132">
        <v>44565</v>
      </c>
      <c r="G89" s="131" t="s">
        <v>35</v>
      </c>
      <c r="H89" s="131" t="s">
        <v>8</v>
      </c>
      <c r="I89" s="132"/>
      <c r="J89" s="131" t="s">
        <v>154</v>
      </c>
      <c r="K89" s="131" t="str">
        <f>J89&amp;COUNTIF($J$2:J89,J89)</f>
        <v>المكشفين88</v>
      </c>
      <c r="L89" s="131"/>
      <c r="M89" s="131" t="e">
        <f t="shared" si="1"/>
        <v>#N/A</v>
      </c>
    </row>
    <row r="90" spans="1:13">
      <c r="A90">
        <v>91</v>
      </c>
      <c r="B90" s="131" t="s">
        <v>348</v>
      </c>
      <c r="C90" s="131" t="s">
        <v>349</v>
      </c>
      <c r="D90" s="131" t="s">
        <v>7</v>
      </c>
      <c r="E90" s="131" t="s">
        <v>337</v>
      </c>
      <c r="F90" s="132">
        <v>44565</v>
      </c>
      <c r="G90" s="131" t="s">
        <v>35</v>
      </c>
      <c r="H90" s="131" t="s">
        <v>27</v>
      </c>
      <c r="I90" s="132"/>
      <c r="J90" s="131" t="s">
        <v>154</v>
      </c>
      <c r="K90" s="131" t="str">
        <f>J90&amp;COUNTIF($J$2:J90,J90)</f>
        <v>المكشفين89</v>
      </c>
      <c r="L90" s="131"/>
      <c r="M90" s="131" t="e">
        <f t="shared" si="1"/>
        <v>#N/A</v>
      </c>
    </row>
    <row r="91" spans="1:13">
      <c r="A91">
        <v>92</v>
      </c>
      <c r="B91" s="131" t="s">
        <v>350</v>
      </c>
      <c r="C91" s="131" t="s">
        <v>351</v>
      </c>
      <c r="D91" s="131" t="s">
        <v>7</v>
      </c>
      <c r="E91" s="131" t="s">
        <v>337</v>
      </c>
      <c r="F91" s="132">
        <v>44565</v>
      </c>
      <c r="G91" s="131" t="s">
        <v>35</v>
      </c>
      <c r="H91" s="131" t="s">
        <v>8</v>
      </c>
      <c r="I91" s="132"/>
      <c r="J91" s="131" t="s">
        <v>154</v>
      </c>
      <c r="K91" s="131" t="str">
        <f>J91&amp;COUNTIF($J$2:J91,J91)</f>
        <v>المكشفين90</v>
      </c>
      <c r="L91" s="131"/>
      <c r="M91" s="131" t="e">
        <f t="shared" si="1"/>
        <v>#N/A</v>
      </c>
    </row>
    <row r="92" spans="1:13">
      <c r="A92">
        <v>93</v>
      </c>
      <c r="B92" s="131" t="s">
        <v>352</v>
      </c>
      <c r="C92" s="131" t="s">
        <v>353</v>
      </c>
      <c r="D92" s="131" t="s">
        <v>7</v>
      </c>
      <c r="E92" s="131" t="s">
        <v>337</v>
      </c>
      <c r="F92" s="132">
        <v>44565</v>
      </c>
      <c r="G92" s="131" t="s">
        <v>35</v>
      </c>
      <c r="H92" s="131" t="s">
        <v>8</v>
      </c>
      <c r="I92" s="132"/>
      <c r="J92" s="131" t="s">
        <v>154</v>
      </c>
      <c r="K92" s="131" t="str">
        <f>J92&amp;COUNTIF($J$2:J92,J92)</f>
        <v>المكشفين91</v>
      </c>
      <c r="L92" s="131"/>
      <c r="M92" s="131" t="e">
        <f t="shared" si="1"/>
        <v>#N/A</v>
      </c>
    </row>
    <row r="93" spans="1:13">
      <c r="A93">
        <v>94</v>
      </c>
      <c r="B93" s="131" t="s">
        <v>354</v>
      </c>
      <c r="C93" s="131" t="s">
        <v>355</v>
      </c>
      <c r="D93" s="131" t="s">
        <v>7</v>
      </c>
      <c r="E93" s="131" t="s">
        <v>337</v>
      </c>
      <c r="F93" s="132"/>
      <c r="G93" s="131" t="s">
        <v>35</v>
      </c>
      <c r="H93" s="131" t="s">
        <v>27</v>
      </c>
      <c r="I93" s="132"/>
      <c r="J93" s="131" t="s">
        <v>154</v>
      </c>
      <c r="K93" s="131" t="str">
        <f>J93&amp;COUNTIF($J$2:J93,J93)</f>
        <v>المكشفين92</v>
      </c>
      <c r="L93" s="131"/>
      <c r="M93" s="131" t="e">
        <f t="shared" si="1"/>
        <v>#N/A</v>
      </c>
    </row>
    <row r="94" spans="1:13">
      <c r="A94">
        <v>95</v>
      </c>
      <c r="B94" s="131" t="s">
        <v>356</v>
      </c>
      <c r="C94" s="131" t="s">
        <v>357</v>
      </c>
      <c r="D94" s="131" t="s">
        <v>7</v>
      </c>
      <c r="E94" s="131" t="s">
        <v>358</v>
      </c>
      <c r="F94" s="132">
        <v>44566</v>
      </c>
      <c r="G94" s="131" t="s">
        <v>26</v>
      </c>
      <c r="H94" s="131" t="s">
        <v>8</v>
      </c>
      <c r="I94" s="132"/>
      <c r="J94" s="131" t="s">
        <v>154</v>
      </c>
      <c r="K94" s="131" t="str">
        <f>J94&amp;COUNTIF($J$2:J94,J94)</f>
        <v>المكشفين93</v>
      </c>
      <c r="L94" s="131"/>
      <c r="M94" s="131" t="e">
        <f t="shared" si="1"/>
        <v>#N/A</v>
      </c>
    </row>
    <row r="95" spans="1:13">
      <c r="A95">
        <v>96</v>
      </c>
      <c r="B95" s="131" t="s">
        <v>359</v>
      </c>
      <c r="C95" s="131" t="s">
        <v>360</v>
      </c>
      <c r="D95" s="131" t="s">
        <v>7</v>
      </c>
      <c r="E95" s="131" t="s">
        <v>358</v>
      </c>
      <c r="F95" s="132">
        <v>44566</v>
      </c>
      <c r="G95" s="131" t="s">
        <v>26</v>
      </c>
      <c r="H95" s="131" t="s">
        <v>8</v>
      </c>
      <c r="I95" s="132"/>
      <c r="J95" s="131" t="s">
        <v>154</v>
      </c>
      <c r="K95" s="131" t="str">
        <f>J95&amp;COUNTIF($J$2:J95,J95)</f>
        <v>المكشفين94</v>
      </c>
      <c r="L95" s="131"/>
      <c r="M95" s="131" t="e">
        <f t="shared" si="1"/>
        <v>#N/A</v>
      </c>
    </row>
    <row r="96" spans="1:13">
      <c r="A96">
        <v>97</v>
      </c>
      <c r="B96" s="131" t="s">
        <v>361</v>
      </c>
      <c r="C96" s="131" t="s">
        <v>362</v>
      </c>
      <c r="D96" s="131" t="s">
        <v>7</v>
      </c>
      <c r="E96" s="131" t="s">
        <v>358</v>
      </c>
      <c r="F96" s="132">
        <v>44566</v>
      </c>
      <c r="G96" s="131" t="s">
        <v>26</v>
      </c>
      <c r="H96" s="131" t="s">
        <v>27</v>
      </c>
      <c r="I96" s="132"/>
      <c r="J96" s="131" t="s">
        <v>154</v>
      </c>
      <c r="K96" s="131" t="str">
        <f>J96&amp;COUNTIF($J$2:J96,J96)</f>
        <v>المكشفين95</v>
      </c>
      <c r="L96" s="131"/>
      <c r="M96" s="131" t="e">
        <f t="shared" si="1"/>
        <v>#N/A</v>
      </c>
    </row>
    <row r="97" spans="1:13">
      <c r="A97">
        <v>98</v>
      </c>
      <c r="B97" s="131" t="s">
        <v>363</v>
      </c>
      <c r="C97" s="131" t="s">
        <v>364</v>
      </c>
      <c r="D97" s="131" t="s">
        <v>7</v>
      </c>
      <c r="E97" s="131" t="s">
        <v>358</v>
      </c>
      <c r="F97" s="132">
        <v>44566</v>
      </c>
      <c r="G97" s="131" t="s">
        <v>26</v>
      </c>
      <c r="H97" s="131" t="s">
        <v>8</v>
      </c>
      <c r="I97" s="132"/>
      <c r="J97" s="131" t="s">
        <v>154</v>
      </c>
      <c r="K97" s="131" t="str">
        <f>J97&amp;COUNTIF($J$2:J97,J97)</f>
        <v>المكشفين96</v>
      </c>
      <c r="L97" s="131"/>
      <c r="M97" s="131" t="e">
        <f t="shared" si="1"/>
        <v>#N/A</v>
      </c>
    </row>
    <row r="98" spans="1:13">
      <c r="A98">
        <v>99</v>
      </c>
      <c r="B98" s="131" t="s">
        <v>365</v>
      </c>
      <c r="C98" s="131" t="s">
        <v>366</v>
      </c>
      <c r="D98" s="131" t="s">
        <v>7</v>
      </c>
      <c r="E98" s="131" t="s">
        <v>358</v>
      </c>
      <c r="F98" s="132">
        <v>44566</v>
      </c>
      <c r="G98" s="131" t="s">
        <v>35</v>
      </c>
      <c r="H98" s="131" t="s">
        <v>8</v>
      </c>
      <c r="I98" s="132"/>
      <c r="J98" s="131" t="s">
        <v>154</v>
      </c>
      <c r="K98" s="131" t="str">
        <f>J98&amp;COUNTIF($J$2:J98,J98)</f>
        <v>المكشفين97</v>
      </c>
      <c r="L98" s="131"/>
      <c r="M98" s="131" t="e">
        <f t="shared" si="1"/>
        <v>#N/A</v>
      </c>
    </row>
    <row r="99" spans="1:13">
      <c r="A99">
        <v>100</v>
      </c>
      <c r="B99" s="131" t="s">
        <v>367</v>
      </c>
      <c r="C99" s="131" t="s">
        <v>368</v>
      </c>
      <c r="D99" s="131" t="s">
        <v>7</v>
      </c>
      <c r="E99" s="131" t="s">
        <v>358</v>
      </c>
      <c r="F99" s="132">
        <v>44566</v>
      </c>
      <c r="G99" s="131" t="s">
        <v>35</v>
      </c>
      <c r="H99" s="131" t="s">
        <v>8</v>
      </c>
      <c r="I99" s="132"/>
      <c r="J99" s="131" t="s">
        <v>154</v>
      </c>
      <c r="K99" s="131" t="str">
        <f>J99&amp;COUNTIF($J$2:J99,J99)</f>
        <v>المكشفين98</v>
      </c>
      <c r="L99" s="131"/>
      <c r="M99" s="131" t="e">
        <f t="shared" si="1"/>
        <v>#N/A</v>
      </c>
    </row>
    <row r="100" spans="1:13">
      <c r="A100">
        <v>101</v>
      </c>
      <c r="B100" s="131" t="s">
        <v>369</v>
      </c>
      <c r="C100" s="131" t="s">
        <v>370</v>
      </c>
      <c r="D100" s="131" t="s">
        <v>7</v>
      </c>
      <c r="E100" s="131" t="s">
        <v>358</v>
      </c>
      <c r="F100" s="132">
        <v>44566</v>
      </c>
      <c r="G100" s="131" t="s">
        <v>35</v>
      </c>
      <c r="H100" s="131" t="s">
        <v>8</v>
      </c>
      <c r="I100" s="132"/>
      <c r="J100" s="131" t="s">
        <v>154</v>
      </c>
      <c r="K100" s="131" t="str">
        <f>J100&amp;COUNTIF($J$2:J100,J100)</f>
        <v>المكشفين99</v>
      </c>
      <c r="L100" s="131"/>
      <c r="M100" s="131" t="e">
        <f t="shared" si="1"/>
        <v>#N/A</v>
      </c>
    </row>
    <row r="101" spans="1:13">
      <c r="A101">
        <v>102</v>
      </c>
      <c r="B101" s="131" t="s">
        <v>371</v>
      </c>
      <c r="C101" s="131" t="s">
        <v>372</v>
      </c>
      <c r="D101" s="131" t="s">
        <v>7</v>
      </c>
      <c r="E101" s="131" t="s">
        <v>358</v>
      </c>
      <c r="F101" s="132">
        <v>44566</v>
      </c>
      <c r="G101" s="131" t="s">
        <v>35</v>
      </c>
      <c r="H101" s="131" t="s">
        <v>8</v>
      </c>
      <c r="I101" s="132"/>
      <c r="J101" s="131" t="s">
        <v>154</v>
      </c>
      <c r="K101" s="131" t="str">
        <f>J101&amp;COUNTIF($J$2:J101,J101)</f>
        <v>المكشفين100</v>
      </c>
      <c r="L101" s="131"/>
      <c r="M101" s="131" t="e">
        <f t="shared" si="1"/>
        <v>#N/A</v>
      </c>
    </row>
    <row r="102" spans="1:13">
      <c r="A102">
        <v>103</v>
      </c>
      <c r="B102" s="131" t="s">
        <v>373</v>
      </c>
      <c r="C102" s="131" t="s">
        <v>374</v>
      </c>
      <c r="D102" s="131" t="s">
        <v>7</v>
      </c>
      <c r="E102" s="131" t="s">
        <v>358</v>
      </c>
      <c r="F102" s="132">
        <v>44566</v>
      </c>
      <c r="G102" s="131" t="s">
        <v>35</v>
      </c>
      <c r="H102" s="131" t="s">
        <v>27</v>
      </c>
      <c r="I102" s="132"/>
      <c r="J102" s="131" t="s">
        <v>154</v>
      </c>
      <c r="K102" s="131" t="str">
        <f>J102&amp;COUNTIF($J$2:J102,J102)</f>
        <v>المكشفين101</v>
      </c>
      <c r="L102" s="131"/>
      <c r="M102" s="131" t="e">
        <f t="shared" si="1"/>
        <v>#N/A</v>
      </c>
    </row>
    <row r="103" spans="1:13">
      <c r="A103">
        <v>104</v>
      </c>
      <c r="B103" s="131" t="s">
        <v>375</v>
      </c>
      <c r="C103" s="131" t="s">
        <v>376</v>
      </c>
      <c r="D103" s="131" t="s">
        <v>7</v>
      </c>
      <c r="E103" s="131" t="s">
        <v>377</v>
      </c>
      <c r="F103" s="132">
        <v>44567</v>
      </c>
      <c r="G103" s="131" t="s">
        <v>26</v>
      </c>
      <c r="H103" s="131" t="s">
        <v>27</v>
      </c>
      <c r="I103" s="132"/>
      <c r="J103" s="131" t="s">
        <v>154</v>
      </c>
      <c r="K103" s="131" t="str">
        <f>J103&amp;COUNTIF($J$2:J103,J103)</f>
        <v>المكشفين102</v>
      </c>
      <c r="L103" s="131"/>
      <c r="M103" s="131" t="e">
        <f t="shared" si="1"/>
        <v>#N/A</v>
      </c>
    </row>
    <row r="104" spans="1:13">
      <c r="A104">
        <v>105</v>
      </c>
      <c r="B104" s="131" t="s">
        <v>378</v>
      </c>
      <c r="C104" s="131" t="s">
        <v>379</v>
      </c>
      <c r="D104" s="131" t="s">
        <v>7</v>
      </c>
      <c r="E104" s="131" t="s">
        <v>377</v>
      </c>
      <c r="F104" s="132">
        <v>44567</v>
      </c>
      <c r="G104" s="131" t="s">
        <v>35</v>
      </c>
      <c r="H104" s="131" t="s">
        <v>8</v>
      </c>
      <c r="I104" s="132"/>
      <c r="J104" s="131" t="s">
        <v>154</v>
      </c>
      <c r="K104" s="131" t="str">
        <f>J104&amp;COUNTIF($J$2:J104,J104)</f>
        <v>المكشفين103</v>
      </c>
      <c r="L104" s="131"/>
      <c r="M104" s="131" t="e">
        <f t="shared" si="1"/>
        <v>#N/A</v>
      </c>
    </row>
    <row r="105" spans="1:13">
      <c r="A105">
        <v>106</v>
      </c>
      <c r="B105" s="131" t="s">
        <v>380</v>
      </c>
      <c r="C105" s="131" t="s">
        <v>381</v>
      </c>
      <c r="D105" s="131" t="s">
        <v>7</v>
      </c>
      <c r="E105" s="131" t="s">
        <v>377</v>
      </c>
      <c r="F105" s="132">
        <v>44567</v>
      </c>
      <c r="G105" s="131" t="s">
        <v>35</v>
      </c>
      <c r="H105" s="131" t="s">
        <v>27</v>
      </c>
      <c r="I105" s="132"/>
      <c r="J105" s="131" t="s">
        <v>154</v>
      </c>
      <c r="K105" s="131" t="str">
        <f>J105&amp;COUNTIF($J$2:J105,J105)</f>
        <v>المكشفين104</v>
      </c>
      <c r="L105" s="131"/>
      <c r="M105" s="131" t="e">
        <f t="shared" si="1"/>
        <v>#N/A</v>
      </c>
    </row>
    <row r="106" spans="1:13">
      <c r="A106">
        <v>107</v>
      </c>
      <c r="B106" s="131" t="s">
        <v>382</v>
      </c>
      <c r="C106" s="131" t="s">
        <v>383</v>
      </c>
      <c r="D106" s="131" t="s">
        <v>7</v>
      </c>
      <c r="E106" s="131" t="s">
        <v>377</v>
      </c>
      <c r="F106" s="132">
        <v>44567</v>
      </c>
      <c r="G106" s="131" t="s">
        <v>35</v>
      </c>
      <c r="H106" s="131" t="s">
        <v>8</v>
      </c>
      <c r="I106" s="132"/>
      <c r="J106" s="131" t="s">
        <v>154</v>
      </c>
      <c r="K106" s="131" t="str">
        <f>J106&amp;COUNTIF($J$2:J106,J106)</f>
        <v>المكشفين105</v>
      </c>
      <c r="L106" s="131"/>
      <c r="M106" s="131" t="e">
        <f t="shared" si="1"/>
        <v>#N/A</v>
      </c>
    </row>
    <row r="107" spans="1:13">
      <c r="A107">
        <v>108</v>
      </c>
      <c r="B107" s="131" t="s">
        <v>384</v>
      </c>
      <c r="C107" s="131" t="s">
        <v>385</v>
      </c>
      <c r="D107" s="131" t="s">
        <v>7</v>
      </c>
      <c r="E107" s="131" t="s">
        <v>377</v>
      </c>
      <c r="F107" s="132">
        <v>44567</v>
      </c>
      <c r="G107" s="131" t="s">
        <v>35</v>
      </c>
      <c r="H107" s="131" t="s">
        <v>8</v>
      </c>
      <c r="I107" s="132"/>
      <c r="J107" s="131" t="s">
        <v>154</v>
      </c>
      <c r="K107" s="131" t="str">
        <f>J107&amp;COUNTIF($J$2:J107,J107)</f>
        <v>المكشفين106</v>
      </c>
      <c r="L107" s="131"/>
      <c r="M107" s="131" t="e">
        <f t="shared" si="1"/>
        <v>#N/A</v>
      </c>
    </row>
    <row r="108" spans="1:13">
      <c r="A108">
        <v>109</v>
      </c>
      <c r="B108" s="131" t="s">
        <v>386</v>
      </c>
      <c r="C108" s="131" t="s">
        <v>387</v>
      </c>
      <c r="D108" s="131" t="s">
        <v>7</v>
      </c>
      <c r="E108" s="131" t="s">
        <v>377</v>
      </c>
      <c r="F108" s="132">
        <v>44567</v>
      </c>
      <c r="G108" s="131" t="s">
        <v>35</v>
      </c>
      <c r="H108" s="131" t="s">
        <v>8</v>
      </c>
      <c r="I108" s="132"/>
      <c r="J108" s="131" t="s">
        <v>154</v>
      </c>
      <c r="K108" s="131" t="str">
        <f>J108&amp;COUNTIF($J$2:J108,J108)</f>
        <v>المكشفين107</v>
      </c>
      <c r="L108" s="131"/>
      <c r="M108" s="131" t="e">
        <f t="shared" si="1"/>
        <v>#N/A</v>
      </c>
    </row>
    <row r="109" spans="1:13">
      <c r="A109">
        <v>110</v>
      </c>
      <c r="B109" s="131" t="s">
        <v>388</v>
      </c>
      <c r="C109" s="131" t="s">
        <v>389</v>
      </c>
      <c r="D109" s="131" t="s">
        <v>7</v>
      </c>
      <c r="E109" s="131" t="s">
        <v>377</v>
      </c>
      <c r="F109" s="132">
        <v>44567</v>
      </c>
      <c r="G109" s="131" t="s">
        <v>35</v>
      </c>
      <c r="H109" s="131" t="s">
        <v>27</v>
      </c>
      <c r="I109" s="132"/>
      <c r="J109" s="131" t="s">
        <v>154</v>
      </c>
      <c r="K109" s="131" t="str">
        <f>J109&amp;COUNTIF($J$2:J109,J109)</f>
        <v>المكشفين108</v>
      </c>
      <c r="L109" s="131"/>
      <c r="M109" s="131" t="e">
        <f t="shared" si="1"/>
        <v>#N/A</v>
      </c>
    </row>
    <row r="110" spans="1:13">
      <c r="A110">
        <v>111</v>
      </c>
      <c r="B110" s="131" t="s">
        <v>390</v>
      </c>
      <c r="C110" s="131" t="s">
        <v>391</v>
      </c>
      <c r="D110" s="131" t="s">
        <v>7</v>
      </c>
      <c r="E110" s="131" t="s">
        <v>377</v>
      </c>
      <c r="F110" s="132">
        <v>44567</v>
      </c>
      <c r="G110" s="131" t="s">
        <v>35</v>
      </c>
      <c r="H110" s="131" t="s">
        <v>8</v>
      </c>
      <c r="I110" s="132"/>
      <c r="J110" s="131" t="s">
        <v>154</v>
      </c>
      <c r="K110" s="131" t="str">
        <f>J110&amp;COUNTIF($J$2:J110,J110)</f>
        <v>المكشفين109</v>
      </c>
      <c r="L110" s="131"/>
      <c r="M110" s="131" t="e">
        <f t="shared" si="1"/>
        <v>#N/A</v>
      </c>
    </row>
    <row r="111" spans="1:13">
      <c r="A111">
        <v>112</v>
      </c>
      <c r="B111" s="131" t="s">
        <v>392</v>
      </c>
      <c r="C111" s="131" t="s">
        <v>393</v>
      </c>
      <c r="D111" s="131" t="s">
        <v>7</v>
      </c>
      <c r="E111" s="131" t="s">
        <v>377</v>
      </c>
      <c r="F111" s="132">
        <v>44567</v>
      </c>
      <c r="G111" s="131" t="s">
        <v>35</v>
      </c>
      <c r="H111" s="131" t="s">
        <v>8</v>
      </c>
      <c r="I111" s="132"/>
      <c r="J111" s="131" t="s">
        <v>154</v>
      </c>
      <c r="K111" s="131" t="str">
        <f>J111&amp;COUNTIF($J$2:J111,J111)</f>
        <v>المكشفين110</v>
      </c>
      <c r="L111" s="131"/>
      <c r="M111" s="131" t="e">
        <f t="shared" si="1"/>
        <v>#N/A</v>
      </c>
    </row>
    <row r="112" spans="1:13">
      <c r="A112">
        <v>113</v>
      </c>
      <c r="B112" s="131" t="s">
        <v>394</v>
      </c>
      <c r="C112" s="131" t="s">
        <v>395</v>
      </c>
      <c r="D112" s="131" t="s">
        <v>7</v>
      </c>
      <c r="E112" s="131" t="s">
        <v>377</v>
      </c>
      <c r="F112" s="132">
        <v>44570</v>
      </c>
      <c r="G112" s="131" t="s">
        <v>35</v>
      </c>
      <c r="H112" s="131" t="s">
        <v>27</v>
      </c>
      <c r="I112" s="132"/>
      <c r="J112" s="131" t="s">
        <v>154</v>
      </c>
      <c r="K112" s="131" t="str">
        <f>J112&amp;COUNTIF($J$2:J112,J112)</f>
        <v>المكشفين111</v>
      </c>
      <c r="L112" s="131"/>
      <c r="M112" s="131" t="e">
        <f t="shared" si="1"/>
        <v>#N/A</v>
      </c>
    </row>
    <row r="113" spans="1:13">
      <c r="A113">
        <v>114</v>
      </c>
      <c r="B113" s="131" t="s">
        <v>396</v>
      </c>
      <c r="C113" s="131" t="s">
        <v>397</v>
      </c>
      <c r="D113" s="131" t="s">
        <v>7</v>
      </c>
      <c r="E113" s="131" t="s">
        <v>398</v>
      </c>
      <c r="F113" s="132">
        <v>44570</v>
      </c>
      <c r="G113" s="131" t="s">
        <v>26</v>
      </c>
      <c r="H113" s="131" t="s">
        <v>8</v>
      </c>
      <c r="I113" s="132"/>
      <c r="J113" s="131" t="s">
        <v>154</v>
      </c>
      <c r="K113" s="131" t="str">
        <f>J113&amp;COUNTIF($J$2:J113,J113)</f>
        <v>المكشفين112</v>
      </c>
      <c r="L113" s="131"/>
      <c r="M113" s="131" t="e">
        <f t="shared" si="1"/>
        <v>#N/A</v>
      </c>
    </row>
    <row r="114" spans="1:13">
      <c r="A114">
        <v>115</v>
      </c>
      <c r="B114" s="131" t="s">
        <v>399</v>
      </c>
      <c r="C114" s="131" t="s">
        <v>400</v>
      </c>
      <c r="D114" s="131" t="s">
        <v>7</v>
      </c>
      <c r="E114" s="131" t="s">
        <v>401</v>
      </c>
      <c r="F114" s="132">
        <v>44572</v>
      </c>
      <c r="G114" s="131" t="s">
        <v>26</v>
      </c>
      <c r="H114" s="131" t="s">
        <v>27</v>
      </c>
      <c r="I114" s="132"/>
      <c r="J114" s="131" t="s">
        <v>154</v>
      </c>
      <c r="K114" s="131" t="str">
        <f>J114&amp;COUNTIF($J$2:J114,J114)</f>
        <v>المكشفين113</v>
      </c>
      <c r="L114" s="131"/>
      <c r="M114" s="131" t="e">
        <f t="shared" si="1"/>
        <v>#N/A</v>
      </c>
    </row>
    <row r="115" spans="1:13">
      <c r="A115">
        <v>116</v>
      </c>
      <c r="B115" s="131" t="s">
        <v>402</v>
      </c>
      <c r="C115" s="131" t="s">
        <v>403</v>
      </c>
      <c r="D115" s="131" t="s">
        <v>7</v>
      </c>
      <c r="E115" s="131" t="s">
        <v>398</v>
      </c>
      <c r="F115" s="132">
        <v>44572</v>
      </c>
      <c r="G115" s="131" t="s">
        <v>26</v>
      </c>
      <c r="H115" s="131" t="s">
        <v>27</v>
      </c>
      <c r="I115" s="132"/>
      <c r="J115" s="131" t="s">
        <v>154</v>
      </c>
      <c r="K115" s="131" t="str">
        <f>J115&amp;COUNTIF($J$2:J115,J115)</f>
        <v>المكشفين114</v>
      </c>
      <c r="L115" s="131"/>
      <c r="M115" s="131" t="e">
        <f t="shared" si="1"/>
        <v>#N/A</v>
      </c>
    </row>
    <row r="116" spans="1:13">
      <c r="A116">
        <v>117</v>
      </c>
      <c r="B116" s="131" t="s">
        <v>404</v>
      </c>
      <c r="C116" s="131" t="s">
        <v>405</v>
      </c>
      <c r="D116" s="131" t="s">
        <v>7</v>
      </c>
      <c r="E116" s="131" t="s">
        <v>326</v>
      </c>
      <c r="F116" s="132"/>
      <c r="G116" s="131" t="s">
        <v>26</v>
      </c>
      <c r="H116" s="131" t="s">
        <v>27</v>
      </c>
      <c r="I116" s="132"/>
      <c r="J116" s="131" t="s">
        <v>154</v>
      </c>
      <c r="K116" s="131" t="str">
        <f>J116&amp;COUNTIF($J$2:J116,J116)</f>
        <v>المكشفين115</v>
      </c>
      <c r="L116" s="131"/>
      <c r="M116" s="131" t="e">
        <f t="shared" si="1"/>
        <v>#N/A</v>
      </c>
    </row>
    <row r="117" spans="1:13">
      <c r="A117">
        <v>118</v>
      </c>
      <c r="B117" s="131" t="s">
        <v>406</v>
      </c>
      <c r="C117" s="131" t="s">
        <v>407</v>
      </c>
      <c r="D117" s="131" t="s">
        <v>7</v>
      </c>
      <c r="E117" s="131" t="s">
        <v>398</v>
      </c>
      <c r="F117" s="132">
        <v>44570</v>
      </c>
      <c r="G117" s="131" t="s">
        <v>35</v>
      </c>
      <c r="H117" s="131" t="s">
        <v>8</v>
      </c>
      <c r="I117" s="132"/>
      <c r="J117" s="131" t="s">
        <v>154</v>
      </c>
      <c r="K117" s="131" t="str">
        <f>J117&amp;COUNTIF($J$2:J117,J117)</f>
        <v>المكشفين116</v>
      </c>
      <c r="L117" s="131"/>
      <c r="M117" s="131" t="e">
        <f t="shared" si="1"/>
        <v>#N/A</v>
      </c>
    </row>
    <row r="118" spans="1:13">
      <c r="A118">
        <v>119</v>
      </c>
      <c r="B118" s="131" t="s">
        <v>408</v>
      </c>
      <c r="C118" s="131" t="s">
        <v>409</v>
      </c>
      <c r="D118" s="131" t="s">
        <v>7</v>
      </c>
      <c r="E118" s="131" t="s">
        <v>398</v>
      </c>
      <c r="F118" s="132">
        <v>44570</v>
      </c>
      <c r="G118" s="131" t="s">
        <v>35</v>
      </c>
      <c r="H118" s="131" t="s">
        <v>8</v>
      </c>
      <c r="I118" s="132"/>
      <c r="J118" s="131" t="s">
        <v>154</v>
      </c>
      <c r="K118" s="131" t="str">
        <f>J118&amp;COUNTIF($J$2:J118,J118)</f>
        <v>المكشفين117</v>
      </c>
      <c r="L118" s="131"/>
      <c r="M118" s="131" t="e">
        <f t="shared" si="1"/>
        <v>#N/A</v>
      </c>
    </row>
    <row r="119" spans="1:13">
      <c r="A119">
        <v>120</v>
      </c>
      <c r="B119" s="131" t="s">
        <v>410</v>
      </c>
      <c r="C119" s="131" t="s">
        <v>411</v>
      </c>
      <c r="D119" s="131" t="s">
        <v>7</v>
      </c>
      <c r="E119" s="131" t="s">
        <v>398</v>
      </c>
      <c r="F119" s="132">
        <v>44570</v>
      </c>
      <c r="G119" s="131" t="s">
        <v>35</v>
      </c>
      <c r="H119" s="131" t="s">
        <v>8</v>
      </c>
      <c r="I119" s="132"/>
      <c r="J119" s="131" t="s">
        <v>154</v>
      </c>
      <c r="K119" s="131" t="str">
        <f>J119&amp;COUNTIF($J$2:J119,J119)</f>
        <v>المكشفين118</v>
      </c>
      <c r="L119" s="131"/>
      <c r="M119" s="131" t="e">
        <f t="shared" si="1"/>
        <v>#N/A</v>
      </c>
    </row>
    <row r="120" spans="1:13">
      <c r="A120">
        <v>121</v>
      </c>
      <c r="B120" s="131" t="s">
        <v>412</v>
      </c>
      <c r="C120" s="131" t="s">
        <v>413</v>
      </c>
      <c r="D120" s="131" t="s">
        <v>7</v>
      </c>
      <c r="E120" s="131" t="s">
        <v>398</v>
      </c>
      <c r="F120" s="132">
        <v>44570</v>
      </c>
      <c r="G120" s="131" t="s">
        <v>35</v>
      </c>
      <c r="H120" s="131" t="s">
        <v>27</v>
      </c>
      <c r="I120" s="132"/>
      <c r="J120" s="131" t="s">
        <v>154</v>
      </c>
      <c r="K120" s="131" t="str">
        <f>J120&amp;COUNTIF($J$2:J120,J120)</f>
        <v>المكشفين119</v>
      </c>
      <c r="L120" s="131"/>
      <c r="M120" s="131" t="e">
        <f t="shared" si="1"/>
        <v>#N/A</v>
      </c>
    </row>
    <row r="121" spans="1:13">
      <c r="A121">
        <v>122</v>
      </c>
      <c r="B121" s="131" t="s">
        <v>414</v>
      </c>
      <c r="C121" s="131" t="s">
        <v>415</v>
      </c>
      <c r="D121" s="131" t="s">
        <v>7</v>
      </c>
      <c r="E121" s="131" t="s">
        <v>398</v>
      </c>
      <c r="F121" s="132">
        <v>44570</v>
      </c>
      <c r="G121" s="131" t="s">
        <v>35</v>
      </c>
      <c r="H121" s="131" t="s">
        <v>8</v>
      </c>
      <c r="I121" s="132"/>
      <c r="J121" s="131" t="s">
        <v>154</v>
      </c>
      <c r="K121" s="131" t="str">
        <f>J121&amp;COUNTIF($J$2:J121,J121)</f>
        <v>المكشفين120</v>
      </c>
      <c r="L121" s="131"/>
      <c r="M121" s="131" t="e">
        <f t="shared" si="1"/>
        <v>#N/A</v>
      </c>
    </row>
    <row r="122" spans="1:13">
      <c r="A122">
        <v>123</v>
      </c>
      <c r="B122" s="131" t="s">
        <v>416</v>
      </c>
      <c r="C122" s="131" t="s">
        <v>417</v>
      </c>
      <c r="D122" s="131" t="s">
        <v>7</v>
      </c>
      <c r="E122" s="131" t="s">
        <v>398</v>
      </c>
      <c r="F122" s="132">
        <v>44570</v>
      </c>
      <c r="G122" s="131" t="s">
        <v>35</v>
      </c>
      <c r="H122" s="131" t="s">
        <v>27</v>
      </c>
      <c r="I122" s="132"/>
      <c r="J122" s="131" t="s">
        <v>154</v>
      </c>
      <c r="K122" s="131" t="str">
        <f>J122&amp;COUNTIF($J$2:J122,J122)</f>
        <v>المكشفين121</v>
      </c>
      <c r="L122" s="131"/>
      <c r="M122" s="131" t="e">
        <f t="shared" si="1"/>
        <v>#N/A</v>
      </c>
    </row>
    <row r="123" spans="1:13">
      <c r="A123">
        <v>124</v>
      </c>
      <c r="B123" s="131" t="s">
        <v>418</v>
      </c>
      <c r="C123" s="131" t="s">
        <v>419</v>
      </c>
      <c r="D123" s="131" t="s">
        <v>7</v>
      </c>
      <c r="E123" s="131" t="s">
        <v>398</v>
      </c>
      <c r="F123" s="132">
        <v>44570</v>
      </c>
      <c r="G123" s="131" t="s">
        <v>35</v>
      </c>
      <c r="H123" s="131" t="s">
        <v>8</v>
      </c>
      <c r="I123" s="132"/>
      <c r="J123" s="131" t="s">
        <v>154</v>
      </c>
      <c r="K123" s="131" t="str">
        <f>J123&amp;COUNTIF($J$2:J123,J123)</f>
        <v>المكشفين122</v>
      </c>
      <c r="L123" s="131"/>
      <c r="M123" s="131" t="e">
        <f t="shared" si="1"/>
        <v>#N/A</v>
      </c>
    </row>
    <row r="124" spans="1:13">
      <c r="A124">
        <v>125</v>
      </c>
      <c r="B124" s="131" t="s">
        <v>420</v>
      </c>
      <c r="C124" s="131" t="s">
        <v>421</v>
      </c>
      <c r="D124" s="131" t="s">
        <v>7</v>
      </c>
      <c r="E124" s="131" t="s">
        <v>398</v>
      </c>
      <c r="F124" s="132">
        <v>44570</v>
      </c>
      <c r="G124" s="131" t="s">
        <v>35</v>
      </c>
      <c r="H124" s="131" t="s">
        <v>8</v>
      </c>
      <c r="I124" s="132"/>
      <c r="J124" s="131" t="s">
        <v>154</v>
      </c>
      <c r="K124" s="131" t="str">
        <f>J124&amp;COUNTIF($J$2:J124,J124)</f>
        <v>المكشفين123</v>
      </c>
      <c r="L124" s="131"/>
      <c r="M124" s="131" t="e">
        <f t="shared" si="1"/>
        <v>#N/A</v>
      </c>
    </row>
    <row r="125" spans="1:13">
      <c r="A125">
        <v>126</v>
      </c>
      <c r="B125" s="131" t="s">
        <v>422</v>
      </c>
      <c r="C125" s="131" t="s">
        <v>423</v>
      </c>
      <c r="D125" s="131" t="s">
        <v>7</v>
      </c>
      <c r="E125" s="131" t="s">
        <v>398</v>
      </c>
      <c r="F125" s="132">
        <v>44570</v>
      </c>
      <c r="G125" s="131" t="s">
        <v>35</v>
      </c>
      <c r="H125" s="131" t="s">
        <v>27</v>
      </c>
      <c r="I125" s="132"/>
      <c r="J125" s="131" t="s">
        <v>154</v>
      </c>
      <c r="K125" s="131" t="str">
        <f>J125&amp;COUNTIF($J$2:J125,J125)</f>
        <v>المكشفين124</v>
      </c>
      <c r="L125" s="131"/>
      <c r="M125" s="131" t="e">
        <f t="shared" si="1"/>
        <v>#N/A</v>
      </c>
    </row>
    <row r="126" spans="1:13">
      <c r="A126">
        <v>127</v>
      </c>
      <c r="B126" s="131" t="s">
        <v>424</v>
      </c>
      <c r="C126" s="131" t="s">
        <v>425</v>
      </c>
      <c r="D126" s="131" t="s">
        <v>7</v>
      </c>
      <c r="E126" s="131" t="s">
        <v>398</v>
      </c>
      <c r="F126" s="132">
        <v>44570</v>
      </c>
      <c r="G126" s="131" t="s">
        <v>35</v>
      </c>
      <c r="H126" s="131" t="s">
        <v>8</v>
      </c>
      <c r="I126" s="132"/>
      <c r="J126" s="131" t="s">
        <v>154</v>
      </c>
      <c r="K126" s="131" t="str">
        <f>J126&amp;COUNTIF($J$2:J126,J126)</f>
        <v>المكشفين125</v>
      </c>
      <c r="L126" s="131"/>
      <c r="M126" s="131" t="e">
        <f t="shared" si="1"/>
        <v>#N/A</v>
      </c>
    </row>
    <row r="127" spans="1:13">
      <c r="A127">
        <v>128</v>
      </c>
      <c r="B127" s="131" t="s">
        <v>426</v>
      </c>
      <c r="C127" s="131" t="s">
        <v>427</v>
      </c>
      <c r="D127" s="131" t="s">
        <v>7</v>
      </c>
      <c r="E127" s="131" t="s">
        <v>398</v>
      </c>
      <c r="F127" s="132">
        <v>44570</v>
      </c>
      <c r="G127" s="131" t="s">
        <v>35</v>
      </c>
      <c r="H127" s="131" t="s">
        <v>8</v>
      </c>
      <c r="I127" s="132"/>
      <c r="J127" s="131" t="s">
        <v>154</v>
      </c>
      <c r="K127" s="131" t="str">
        <f>J127&amp;COUNTIF($J$2:J127,J127)</f>
        <v>المكشفين126</v>
      </c>
      <c r="L127" s="131"/>
      <c r="M127" s="131" t="e">
        <f t="shared" si="1"/>
        <v>#N/A</v>
      </c>
    </row>
    <row r="128" spans="1:13">
      <c r="A128">
        <v>129</v>
      </c>
      <c r="B128" s="131" t="s">
        <v>428</v>
      </c>
      <c r="C128" s="131" t="s">
        <v>429</v>
      </c>
      <c r="D128" s="131" t="s">
        <v>7</v>
      </c>
      <c r="E128" s="131" t="s">
        <v>326</v>
      </c>
      <c r="F128" s="132"/>
      <c r="G128" s="131" t="s">
        <v>35</v>
      </c>
      <c r="H128" s="131" t="s">
        <v>27</v>
      </c>
      <c r="I128" s="132"/>
      <c r="J128" s="131" t="s">
        <v>154</v>
      </c>
      <c r="K128" s="131" t="str">
        <f>J128&amp;COUNTIF($J$2:J128,J128)</f>
        <v>المكشفين127</v>
      </c>
      <c r="L128" s="131"/>
      <c r="M128" s="131" t="e">
        <f t="shared" si="1"/>
        <v>#N/A</v>
      </c>
    </row>
    <row r="129" spans="1:13">
      <c r="A129">
        <v>130</v>
      </c>
      <c r="B129" s="131" t="s">
        <v>430</v>
      </c>
      <c r="C129" s="131" t="s">
        <v>431</v>
      </c>
      <c r="D129" s="131" t="s">
        <v>7</v>
      </c>
      <c r="E129" s="131" t="s">
        <v>432</v>
      </c>
      <c r="F129" s="132">
        <v>44572</v>
      </c>
      <c r="G129" s="131" t="s">
        <v>26</v>
      </c>
      <c r="H129" s="131" t="s">
        <v>8</v>
      </c>
      <c r="I129" s="132"/>
      <c r="J129" s="131" t="s">
        <v>154</v>
      </c>
      <c r="K129" s="131" t="str">
        <f>J129&amp;COUNTIF($J$2:J129,J129)</f>
        <v>المكشفين128</v>
      </c>
      <c r="L129" s="131"/>
      <c r="M129" s="131" t="e">
        <f t="shared" si="1"/>
        <v>#N/A</v>
      </c>
    </row>
    <row r="130" spans="1:13">
      <c r="A130">
        <v>131</v>
      </c>
      <c r="B130" s="131" t="s">
        <v>433</v>
      </c>
      <c r="C130" s="131" t="s">
        <v>434</v>
      </c>
      <c r="D130" s="131" t="s">
        <v>7</v>
      </c>
      <c r="E130" s="131" t="s">
        <v>401</v>
      </c>
      <c r="F130" s="132">
        <v>44571</v>
      </c>
      <c r="G130" s="131" t="s">
        <v>35</v>
      </c>
      <c r="H130" s="131" t="s">
        <v>27</v>
      </c>
      <c r="I130" s="132"/>
      <c r="J130" s="131" t="s">
        <v>154</v>
      </c>
      <c r="K130" s="131" t="str">
        <f>J130&amp;COUNTIF($J$2:J130,J130)</f>
        <v>المكشفين129</v>
      </c>
      <c r="L130" s="131"/>
      <c r="M130" s="131" t="e">
        <f t="shared" ref="M130:M193" si="2">VLOOKUP($L$2&amp;ROW()-2,$A$2:$J$250,MATCH($M129,B130,0),FALSE)</f>
        <v>#N/A</v>
      </c>
    </row>
    <row r="131" spans="1:13">
      <c r="A131">
        <v>132</v>
      </c>
      <c r="B131" s="131" t="s">
        <v>435</v>
      </c>
      <c r="C131" s="131" t="s">
        <v>436</v>
      </c>
      <c r="D131" s="131" t="s">
        <v>7</v>
      </c>
      <c r="E131" s="131" t="s">
        <v>401</v>
      </c>
      <c r="F131" s="132">
        <v>44571</v>
      </c>
      <c r="G131" s="131" t="s">
        <v>35</v>
      </c>
      <c r="H131" s="131" t="s">
        <v>8</v>
      </c>
      <c r="I131" s="132"/>
      <c r="J131" s="131" t="s">
        <v>154</v>
      </c>
      <c r="K131" s="131" t="str">
        <f>J131&amp;COUNTIF($J$2:J131,J131)</f>
        <v>المكشفين130</v>
      </c>
      <c r="L131" s="131"/>
      <c r="M131" s="131" t="e">
        <f t="shared" si="2"/>
        <v>#N/A</v>
      </c>
    </row>
    <row r="132" spans="1:13">
      <c r="A132">
        <v>133</v>
      </c>
      <c r="B132" s="131" t="s">
        <v>437</v>
      </c>
      <c r="C132" s="131" t="s">
        <v>438</v>
      </c>
      <c r="D132" s="131" t="s">
        <v>7</v>
      </c>
      <c r="E132" s="131" t="s">
        <v>401</v>
      </c>
      <c r="F132" s="132">
        <v>44571</v>
      </c>
      <c r="G132" s="131" t="s">
        <v>35</v>
      </c>
      <c r="H132" s="131" t="s">
        <v>8</v>
      </c>
      <c r="I132" s="132"/>
      <c r="J132" s="131" t="s">
        <v>154</v>
      </c>
      <c r="K132" s="131" t="str">
        <f>J132&amp;COUNTIF($J$2:J132,J132)</f>
        <v>المكشفين131</v>
      </c>
      <c r="L132" s="131"/>
      <c r="M132" s="131" t="e">
        <f t="shared" si="2"/>
        <v>#N/A</v>
      </c>
    </row>
    <row r="133" spans="1:13">
      <c r="A133">
        <v>134</v>
      </c>
      <c r="B133" s="131" t="s">
        <v>439</v>
      </c>
      <c r="C133" s="131" t="s">
        <v>440</v>
      </c>
      <c r="D133" s="131" t="s">
        <v>7</v>
      </c>
      <c r="E133" s="131" t="s">
        <v>401</v>
      </c>
      <c r="F133" s="132">
        <v>44571</v>
      </c>
      <c r="G133" s="131" t="s">
        <v>35</v>
      </c>
      <c r="H133" s="131" t="s">
        <v>8</v>
      </c>
      <c r="I133" s="132"/>
      <c r="J133" s="131" t="s">
        <v>154</v>
      </c>
      <c r="K133" s="131" t="str">
        <f>J133&amp;COUNTIF($J$2:J133,J133)</f>
        <v>المكشفين132</v>
      </c>
      <c r="L133" s="131"/>
      <c r="M133" s="131" t="e">
        <f t="shared" si="2"/>
        <v>#N/A</v>
      </c>
    </row>
    <row r="134" spans="1:13">
      <c r="A134">
        <v>135</v>
      </c>
      <c r="B134" s="131" t="s">
        <v>441</v>
      </c>
      <c r="C134" s="131" t="s">
        <v>442</v>
      </c>
      <c r="D134" s="131" t="s">
        <v>7</v>
      </c>
      <c r="E134" s="131" t="s">
        <v>401</v>
      </c>
      <c r="F134" s="132">
        <v>44571</v>
      </c>
      <c r="G134" s="131" t="s">
        <v>35</v>
      </c>
      <c r="H134" s="131" t="s">
        <v>8</v>
      </c>
      <c r="I134" s="132"/>
      <c r="J134" s="131" t="s">
        <v>154</v>
      </c>
      <c r="K134" s="131" t="str">
        <f>J134&amp;COUNTIF($J$2:J134,J134)</f>
        <v>المكشفين133</v>
      </c>
      <c r="L134" s="131"/>
      <c r="M134" s="131" t="e">
        <f t="shared" si="2"/>
        <v>#N/A</v>
      </c>
    </row>
    <row r="135" spans="1:13">
      <c r="A135">
        <v>136</v>
      </c>
      <c r="B135" s="131" t="s">
        <v>443</v>
      </c>
      <c r="C135" s="131" t="s">
        <v>444</v>
      </c>
      <c r="D135" s="131" t="s">
        <v>7</v>
      </c>
      <c r="E135" s="131" t="s">
        <v>401</v>
      </c>
      <c r="F135" s="132">
        <v>44571</v>
      </c>
      <c r="G135" s="131" t="s">
        <v>35</v>
      </c>
      <c r="H135" s="131" t="s">
        <v>8</v>
      </c>
      <c r="I135" s="132"/>
      <c r="J135" s="131" t="s">
        <v>154</v>
      </c>
      <c r="K135" s="131" t="str">
        <f>J135&amp;COUNTIF($J$2:J135,J135)</f>
        <v>المكشفين134</v>
      </c>
      <c r="L135" s="131"/>
      <c r="M135" s="131" t="e">
        <f t="shared" si="2"/>
        <v>#N/A</v>
      </c>
    </row>
    <row r="136" spans="1:13">
      <c r="A136">
        <v>137</v>
      </c>
      <c r="B136" s="131" t="s">
        <v>445</v>
      </c>
      <c r="C136" s="131" t="s">
        <v>446</v>
      </c>
      <c r="D136" s="131" t="s">
        <v>7</v>
      </c>
      <c r="E136" s="131" t="s">
        <v>432</v>
      </c>
      <c r="F136" s="132">
        <v>44572</v>
      </c>
      <c r="G136" s="131" t="s">
        <v>35</v>
      </c>
      <c r="H136" s="131" t="s">
        <v>8</v>
      </c>
      <c r="I136" s="132"/>
      <c r="J136" s="131" t="s">
        <v>154</v>
      </c>
      <c r="K136" s="131" t="str">
        <f>J136&amp;COUNTIF($J$2:J136,J136)</f>
        <v>المكشفين135</v>
      </c>
      <c r="L136" s="131"/>
      <c r="M136" s="131" t="e">
        <f t="shared" si="2"/>
        <v>#N/A</v>
      </c>
    </row>
    <row r="137" spans="1:13">
      <c r="A137">
        <v>138</v>
      </c>
      <c r="B137" s="131" t="s">
        <v>447</v>
      </c>
      <c r="C137" s="131" t="s">
        <v>448</v>
      </c>
      <c r="D137" s="131" t="s">
        <v>7</v>
      </c>
      <c r="E137" s="131" t="s">
        <v>326</v>
      </c>
      <c r="F137" s="132"/>
      <c r="G137" s="131" t="s">
        <v>35</v>
      </c>
      <c r="H137" s="131" t="s">
        <v>8</v>
      </c>
      <c r="I137" s="132"/>
      <c r="J137" s="131" t="s">
        <v>154</v>
      </c>
      <c r="K137" s="131" t="str">
        <f>J137&amp;COUNTIF($J$2:J137,J137)</f>
        <v>المكشفين136</v>
      </c>
      <c r="L137" s="131"/>
      <c r="M137" s="131" t="e">
        <f t="shared" si="2"/>
        <v>#N/A</v>
      </c>
    </row>
    <row r="138" spans="1:13">
      <c r="A138">
        <v>139</v>
      </c>
      <c r="B138" s="131" t="s">
        <v>449</v>
      </c>
      <c r="C138" s="131" t="s">
        <v>450</v>
      </c>
      <c r="D138" s="131" t="s">
        <v>7</v>
      </c>
      <c r="E138" s="131" t="s">
        <v>451</v>
      </c>
      <c r="F138" s="132">
        <v>44574</v>
      </c>
      <c r="G138" s="131" t="s">
        <v>26</v>
      </c>
      <c r="H138" s="131" t="s">
        <v>8</v>
      </c>
      <c r="I138" s="132"/>
      <c r="J138" s="131" t="s">
        <v>154</v>
      </c>
      <c r="K138" s="131" t="str">
        <f>J138&amp;COUNTIF($J$2:J138,J138)</f>
        <v>المكشفين137</v>
      </c>
      <c r="L138" s="131"/>
      <c r="M138" s="131" t="e">
        <f t="shared" si="2"/>
        <v>#N/A</v>
      </c>
    </row>
    <row r="139" spans="1:13">
      <c r="A139">
        <v>140</v>
      </c>
      <c r="B139" s="131" t="s">
        <v>452</v>
      </c>
      <c r="C139" s="131" t="s">
        <v>453</v>
      </c>
      <c r="D139" s="131" t="s">
        <v>7</v>
      </c>
      <c r="E139" s="131"/>
      <c r="F139" s="132"/>
      <c r="G139" s="131" t="s">
        <v>35</v>
      </c>
      <c r="H139" s="131" t="s">
        <v>8</v>
      </c>
      <c r="I139" s="132"/>
      <c r="J139" s="131" t="s">
        <v>154</v>
      </c>
      <c r="K139" s="131" t="str">
        <f>J139&amp;COUNTIF($J$2:J139,J139)</f>
        <v>المكشفين138</v>
      </c>
      <c r="L139" s="131"/>
      <c r="M139" s="131" t="e">
        <f t="shared" si="2"/>
        <v>#N/A</v>
      </c>
    </row>
    <row r="140" spans="1:13">
      <c r="A140">
        <v>141</v>
      </c>
      <c r="B140" s="131" t="s">
        <v>454</v>
      </c>
      <c r="C140" s="131" t="s">
        <v>455</v>
      </c>
      <c r="D140" s="131" t="s">
        <v>7</v>
      </c>
      <c r="E140" s="131"/>
      <c r="F140" s="132"/>
      <c r="G140" s="131" t="s">
        <v>35</v>
      </c>
      <c r="H140" s="131" t="s">
        <v>8</v>
      </c>
      <c r="I140" s="132"/>
      <c r="J140" s="131" t="s">
        <v>154</v>
      </c>
      <c r="K140" s="131" t="str">
        <f>J140&amp;COUNTIF($J$2:J140,J140)</f>
        <v>المكشفين139</v>
      </c>
      <c r="L140" s="131"/>
      <c r="M140" s="131" t="e">
        <f t="shared" si="2"/>
        <v>#N/A</v>
      </c>
    </row>
    <row r="141" spans="1:13">
      <c r="A141">
        <v>142</v>
      </c>
      <c r="B141" s="131" t="s">
        <v>456</v>
      </c>
      <c r="C141" s="131" t="s">
        <v>457</v>
      </c>
      <c r="D141" s="131" t="s">
        <v>7</v>
      </c>
      <c r="E141" s="131"/>
      <c r="F141" s="132"/>
      <c r="G141" s="131" t="s">
        <v>35</v>
      </c>
      <c r="H141" s="131" t="s">
        <v>8</v>
      </c>
      <c r="I141" s="132"/>
      <c r="J141" s="131" t="s">
        <v>154</v>
      </c>
      <c r="K141" s="131" t="str">
        <f>J141&amp;COUNTIF($J$2:J141,J141)</f>
        <v>المكشفين140</v>
      </c>
      <c r="L141" s="131"/>
      <c r="M141" s="131" t="e">
        <f t="shared" si="2"/>
        <v>#N/A</v>
      </c>
    </row>
    <row r="142" spans="1:13">
      <c r="A142">
        <v>143</v>
      </c>
      <c r="B142" s="131" t="s">
        <v>458</v>
      </c>
      <c r="C142" s="131" t="s">
        <v>459</v>
      </c>
      <c r="D142" s="131" t="s">
        <v>7</v>
      </c>
      <c r="E142" s="131"/>
      <c r="F142" s="132"/>
      <c r="G142" s="131" t="s">
        <v>35</v>
      </c>
      <c r="H142" s="131" t="s">
        <v>8</v>
      </c>
      <c r="I142" s="132"/>
      <c r="J142" s="131" t="s">
        <v>154</v>
      </c>
      <c r="K142" s="131" t="str">
        <f>J142&amp;COUNTIF($J$2:J142,J142)</f>
        <v>المكشفين141</v>
      </c>
      <c r="L142" s="131"/>
      <c r="M142" s="131" t="e">
        <f t="shared" si="2"/>
        <v>#N/A</v>
      </c>
    </row>
    <row r="143" spans="1:13">
      <c r="A143">
        <v>144</v>
      </c>
      <c r="B143" s="131" t="s">
        <v>460</v>
      </c>
      <c r="C143" s="131" t="s">
        <v>461</v>
      </c>
      <c r="D143" s="131" t="s">
        <v>7</v>
      </c>
      <c r="E143" s="131"/>
      <c r="F143" s="132"/>
      <c r="G143" s="131" t="s">
        <v>35</v>
      </c>
      <c r="H143" s="131" t="s">
        <v>27</v>
      </c>
      <c r="I143" s="132"/>
      <c r="J143" s="131" t="s">
        <v>154</v>
      </c>
      <c r="K143" s="131" t="str">
        <f>J143&amp;COUNTIF($J$2:J143,J143)</f>
        <v>المكشفين142</v>
      </c>
      <c r="L143" s="131"/>
      <c r="M143" s="131" t="e">
        <f t="shared" si="2"/>
        <v>#N/A</v>
      </c>
    </row>
    <row r="144" spans="1:13">
      <c r="A144">
        <v>145</v>
      </c>
      <c r="B144" s="131" t="s">
        <v>462</v>
      </c>
      <c r="C144" s="131" t="s">
        <v>463</v>
      </c>
      <c r="D144" s="131" t="s">
        <v>7</v>
      </c>
      <c r="E144" s="131"/>
      <c r="F144" s="132"/>
      <c r="G144" s="131" t="s">
        <v>35</v>
      </c>
      <c r="H144" s="131" t="s">
        <v>27</v>
      </c>
      <c r="I144" s="132"/>
      <c r="J144" s="131" t="s">
        <v>154</v>
      </c>
      <c r="K144" s="131" t="str">
        <f>J144&amp;COUNTIF($J$2:J144,J144)</f>
        <v>المكشفين143</v>
      </c>
      <c r="L144" s="131"/>
      <c r="M144" s="131" t="e">
        <f t="shared" si="2"/>
        <v>#N/A</v>
      </c>
    </row>
    <row r="145" spans="1:13">
      <c r="A145">
        <v>146</v>
      </c>
      <c r="B145" s="131" t="s">
        <v>464</v>
      </c>
      <c r="C145" s="131" t="s">
        <v>465</v>
      </c>
      <c r="D145" s="131" t="s">
        <v>7</v>
      </c>
      <c r="E145" s="131"/>
      <c r="F145" s="132"/>
      <c r="G145" s="131" t="s">
        <v>35</v>
      </c>
      <c r="H145" s="131" t="s">
        <v>8</v>
      </c>
      <c r="I145" s="132"/>
      <c r="J145" s="131" t="s">
        <v>154</v>
      </c>
      <c r="K145" s="131" t="str">
        <f>J145&amp;COUNTIF($J$2:J145,J145)</f>
        <v>المكشفين144</v>
      </c>
      <c r="L145" s="131"/>
      <c r="M145" s="131" t="e">
        <f t="shared" si="2"/>
        <v>#N/A</v>
      </c>
    </row>
    <row r="146" spans="1:13">
      <c r="A146">
        <v>147</v>
      </c>
      <c r="B146" s="131" t="s">
        <v>466</v>
      </c>
      <c r="C146" s="131" t="s">
        <v>467</v>
      </c>
      <c r="D146" s="131" t="s">
        <v>7</v>
      </c>
      <c r="E146" s="131"/>
      <c r="F146" s="132"/>
      <c r="G146" s="131" t="s">
        <v>35</v>
      </c>
      <c r="H146" s="131" t="s">
        <v>8</v>
      </c>
      <c r="I146" s="132"/>
      <c r="J146" s="131" t="s">
        <v>154</v>
      </c>
      <c r="K146" s="131" t="str">
        <f>J146&amp;COUNTIF($J$2:J146,J146)</f>
        <v>المكشفين145</v>
      </c>
      <c r="L146" s="131"/>
      <c r="M146" s="131" t="e">
        <f t="shared" si="2"/>
        <v>#N/A</v>
      </c>
    </row>
    <row r="147" spans="1:13">
      <c r="A147">
        <v>148</v>
      </c>
      <c r="B147" s="131" t="s">
        <v>468</v>
      </c>
      <c r="C147" s="131" t="s">
        <v>469</v>
      </c>
      <c r="D147" s="131" t="s">
        <v>7</v>
      </c>
      <c r="E147" s="131"/>
      <c r="F147" s="132"/>
      <c r="G147" s="131" t="s">
        <v>35</v>
      </c>
      <c r="H147" s="131" t="s">
        <v>8</v>
      </c>
      <c r="I147" s="132"/>
      <c r="J147" s="131" t="s">
        <v>154</v>
      </c>
      <c r="K147" s="131" t="str">
        <f>J147&amp;COUNTIF($J$2:J147,J147)</f>
        <v>المكشفين146</v>
      </c>
      <c r="L147" s="131"/>
      <c r="M147" s="131" t="e">
        <f t="shared" si="2"/>
        <v>#N/A</v>
      </c>
    </row>
    <row r="148" spans="1:13">
      <c r="A148">
        <v>149</v>
      </c>
      <c r="B148" s="131" t="s">
        <v>470</v>
      </c>
      <c r="C148" s="131" t="s">
        <v>471</v>
      </c>
      <c r="D148" s="131" t="s">
        <v>7</v>
      </c>
      <c r="E148" s="131"/>
      <c r="F148" s="132"/>
      <c r="G148" s="131" t="s">
        <v>35</v>
      </c>
      <c r="H148" s="131" t="s">
        <v>8</v>
      </c>
      <c r="I148" s="132"/>
      <c r="J148" s="131" t="s">
        <v>154</v>
      </c>
      <c r="K148" s="131" t="str">
        <f>J148&amp;COUNTIF($J$2:J148,J148)</f>
        <v>المكشفين147</v>
      </c>
      <c r="L148" s="131"/>
      <c r="M148" s="131" t="e">
        <f t="shared" si="2"/>
        <v>#N/A</v>
      </c>
    </row>
    <row r="149" spans="1:13">
      <c r="A149">
        <v>150</v>
      </c>
      <c r="B149" s="131" t="s">
        <v>472</v>
      </c>
      <c r="C149" s="131" t="s">
        <v>473</v>
      </c>
      <c r="D149" s="131" t="s">
        <v>7</v>
      </c>
      <c r="E149" s="131"/>
      <c r="F149" s="132"/>
      <c r="G149" s="131" t="s">
        <v>35</v>
      </c>
      <c r="H149" s="131" t="s">
        <v>8</v>
      </c>
      <c r="I149" s="132"/>
      <c r="J149" s="131" t="s">
        <v>154</v>
      </c>
      <c r="K149" s="131" t="str">
        <f>J149&amp;COUNTIF($J$2:J149,J149)</f>
        <v>المكشفين148</v>
      </c>
      <c r="L149" s="131"/>
      <c r="M149" s="131" t="e">
        <f t="shared" si="2"/>
        <v>#N/A</v>
      </c>
    </row>
    <row r="150" spans="1:13">
      <c r="A150">
        <v>151</v>
      </c>
      <c r="B150" s="131" t="s">
        <v>474</v>
      </c>
      <c r="C150" s="131" t="s">
        <v>475</v>
      </c>
      <c r="D150" s="131" t="s">
        <v>7</v>
      </c>
      <c r="E150" s="131"/>
      <c r="F150" s="132"/>
      <c r="G150" s="131" t="s">
        <v>35</v>
      </c>
      <c r="H150" s="131" t="s">
        <v>27</v>
      </c>
      <c r="I150" s="132"/>
      <c r="J150" s="131" t="s">
        <v>154</v>
      </c>
      <c r="K150" s="131" t="str">
        <f>J150&amp;COUNTIF($J$2:J150,J150)</f>
        <v>المكشفين149</v>
      </c>
      <c r="L150" s="131"/>
      <c r="M150" s="131" t="e">
        <f t="shared" si="2"/>
        <v>#N/A</v>
      </c>
    </row>
    <row r="151" spans="1:13">
      <c r="A151">
        <v>152</v>
      </c>
      <c r="B151" s="131" t="s">
        <v>476</v>
      </c>
      <c r="C151" s="131" t="s">
        <v>477</v>
      </c>
      <c r="D151" s="131" t="s">
        <v>7</v>
      </c>
      <c r="E151" s="131" t="s">
        <v>326</v>
      </c>
      <c r="F151" s="132"/>
      <c r="G151" s="131" t="s">
        <v>35</v>
      </c>
      <c r="H151" s="131" t="s">
        <v>8</v>
      </c>
      <c r="I151" s="132"/>
      <c r="J151" s="131" t="s">
        <v>154</v>
      </c>
      <c r="K151" s="131" t="str">
        <f>J151&amp;COUNTIF($J$2:J151,J151)</f>
        <v>المكشفين150</v>
      </c>
      <c r="L151" s="131"/>
      <c r="M151" s="131" t="e">
        <f t="shared" si="2"/>
        <v>#N/A</v>
      </c>
    </row>
    <row r="152" spans="1:13">
      <c r="A152">
        <v>153</v>
      </c>
      <c r="B152" s="131" t="s">
        <v>478</v>
      </c>
      <c r="C152" s="131" t="s">
        <v>479</v>
      </c>
      <c r="D152" s="131" t="s">
        <v>7</v>
      </c>
      <c r="E152" s="131" t="s">
        <v>337</v>
      </c>
      <c r="F152" s="132">
        <v>44565</v>
      </c>
      <c r="G152" s="131" t="s">
        <v>26</v>
      </c>
      <c r="H152" s="131" t="s">
        <v>27</v>
      </c>
      <c r="I152" s="132"/>
      <c r="J152" s="131" t="s">
        <v>154</v>
      </c>
      <c r="K152" s="131" t="str">
        <f>J152&amp;COUNTIF($J$2:J152,J152)</f>
        <v>المكشفين151</v>
      </c>
      <c r="L152" s="131"/>
      <c r="M152" s="131" t="e">
        <f t="shared" si="2"/>
        <v>#N/A</v>
      </c>
    </row>
    <row r="153" spans="1:13">
      <c r="A153">
        <v>154</v>
      </c>
      <c r="B153" s="131" t="s">
        <v>480</v>
      </c>
      <c r="C153" s="131" t="s">
        <v>481</v>
      </c>
      <c r="D153" s="131" t="s">
        <v>7</v>
      </c>
      <c r="E153" s="131" t="s">
        <v>432</v>
      </c>
      <c r="F153" s="132">
        <v>44572</v>
      </c>
      <c r="G153" s="131" t="s">
        <v>26</v>
      </c>
      <c r="H153" s="131" t="s">
        <v>27</v>
      </c>
      <c r="I153" s="132"/>
      <c r="J153" s="131" t="s">
        <v>154</v>
      </c>
      <c r="K153" s="131" t="str">
        <f>J153&amp;COUNTIF($J$2:J153,J153)</f>
        <v>المكشفين152</v>
      </c>
      <c r="L153" s="131"/>
      <c r="M153" s="131" t="e">
        <f t="shared" si="2"/>
        <v>#N/A</v>
      </c>
    </row>
    <row r="154" spans="1:13">
      <c r="A154">
        <v>155</v>
      </c>
      <c r="B154" s="131" t="s">
        <v>482</v>
      </c>
      <c r="C154" s="131" t="s">
        <v>483</v>
      </c>
      <c r="D154" s="131" t="s">
        <v>7</v>
      </c>
      <c r="E154" s="131" t="s">
        <v>451</v>
      </c>
      <c r="F154" s="132">
        <v>44574</v>
      </c>
      <c r="G154" s="131" t="s">
        <v>26</v>
      </c>
      <c r="H154" s="131" t="s">
        <v>27</v>
      </c>
      <c r="I154" s="132"/>
      <c r="J154" s="131" t="s">
        <v>154</v>
      </c>
      <c r="K154" s="131" t="str">
        <f>J154&amp;COUNTIF($J$2:J154,J154)</f>
        <v>المكشفين153</v>
      </c>
      <c r="L154" s="131"/>
      <c r="M154" s="131" t="e">
        <f t="shared" si="2"/>
        <v>#N/A</v>
      </c>
    </row>
    <row r="155" spans="1:13">
      <c r="A155">
        <v>156</v>
      </c>
      <c r="B155" s="131" t="s">
        <v>484</v>
      </c>
      <c r="C155" s="131" t="s">
        <v>485</v>
      </c>
      <c r="D155" s="131" t="s">
        <v>7</v>
      </c>
      <c r="E155" s="131"/>
      <c r="F155" s="132"/>
      <c r="G155" s="131" t="s">
        <v>35</v>
      </c>
      <c r="H155" s="131" t="s">
        <v>8</v>
      </c>
      <c r="I155" s="132"/>
      <c r="J155" s="131" t="s">
        <v>154</v>
      </c>
      <c r="K155" s="131" t="str">
        <f>J155&amp;COUNTIF($J$2:J155,J155)</f>
        <v>المكشفين154</v>
      </c>
      <c r="L155" s="131"/>
      <c r="M155" s="131" t="e">
        <f t="shared" si="2"/>
        <v>#N/A</v>
      </c>
    </row>
    <row r="156" spans="1:13">
      <c r="A156">
        <v>157</v>
      </c>
      <c r="B156" s="131" t="s">
        <v>486</v>
      </c>
      <c r="C156" s="131" t="s">
        <v>487</v>
      </c>
      <c r="D156" s="131" t="s">
        <v>7</v>
      </c>
      <c r="E156" s="131" t="s">
        <v>432</v>
      </c>
      <c r="F156" s="132">
        <v>44572</v>
      </c>
      <c r="G156" s="131" t="s">
        <v>26</v>
      </c>
      <c r="H156" s="131" t="s">
        <v>27</v>
      </c>
      <c r="I156" s="132"/>
      <c r="J156" s="131" t="s">
        <v>154</v>
      </c>
      <c r="K156" s="131" t="str">
        <f>J156&amp;COUNTIF($J$2:J156,J156)</f>
        <v>المكشفين155</v>
      </c>
      <c r="L156" s="131"/>
      <c r="M156" s="131" t="e">
        <f t="shared" si="2"/>
        <v>#N/A</v>
      </c>
    </row>
    <row r="157" spans="1:13">
      <c r="A157">
        <v>158</v>
      </c>
      <c r="B157" s="131" t="s">
        <v>488</v>
      </c>
      <c r="C157" s="131" t="s">
        <v>489</v>
      </c>
      <c r="D157" s="131" t="s">
        <v>7</v>
      </c>
      <c r="E157" s="131" t="s">
        <v>432</v>
      </c>
      <c r="F157" s="132">
        <v>44572</v>
      </c>
      <c r="G157" s="131" t="s">
        <v>26</v>
      </c>
      <c r="H157" s="131" t="s">
        <v>27</v>
      </c>
      <c r="I157" s="132"/>
      <c r="J157" s="131" t="s">
        <v>154</v>
      </c>
      <c r="K157" s="131" t="str">
        <f>J157&amp;COUNTIF($J$2:J157,J157)</f>
        <v>المكشفين156</v>
      </c>
      <c r="L157" s="131"/>
      <c r="M157" s="131" t="e">
        <f t="shared" si="2"/>
        <v>#N/A</v>
      </c>
    </row>
    <row r="158" spans="1:13">
      <c r="A158">
        <v>159</v>
      </c>
      <c r="B158" s="131" t="s">
        <v>490</v>
      </c>
      <c r="C158" s="131" t="s">
        <v>491</v>
      </c>
      <c r="D158" s="131" t="s">
        <v>7</v>
      </c>
      <c r="E158" s="131" t="s">
        <v>432</v>
      </c>
      <c r="F158" s="132">
        <v>44572</v>
      </c>
      <c r="G158" s="131" t="s">
        <v>26</v>
      </c>
      <c r="H158" s="131" t="s">
        <v>8</v>
      </c>
      <c r="I158" s="132"/>
      <c r="J158" s="131" t="s">
        <v>154</v>
      </c>
      <c r="K158" s="131" t="str">
        <f>J158&amp;COUNTIF($J$2:J158,J158)</f>
        <v>المكشفين157</v>
      </c>
      <c r="L158" s="131"/>
      <c r="M158" s="131" t="e">
        <f t="shared" si="2"/>
        <v>#N/A</v>
      </c>
    </row>
    <row r="159" spans="1:13">
      <c r="A159">
        <v>160</v>
      </c>
      <c r="B159" s="131" t="s">
        <v>492</v>
      </c>
      <c r="C159" s="131" t="s">
        <v>493</v>
      </c>
      <c r="D159" s="131" t="s">
        <v>7</v>
      </c>
      <c r="E159" s="131" t="s">
        <v>326</v>
      </c>
      <c r="F159" s="132"/>
      <c r="G159" s="131" t="s">
        <v>26</v>
      </c>
      <c r="H159" s="131" t="s">
        <v>27</v>
      </c>
      <c r="I159" s="132"/>
      <c r="J159" s="131" t="s">
        <v>154</v>
      </c>
      <c r="K159" s="131" t="str">
        <f>J159&amp;COUNTIF($J$2:J159,J159)</f>
        <v>المكشفين158</v>
      </c>
      <c r="L159" s="131"/>
      <c r="M159" s="131" t="e">
        <f t="shared" si="2"/>
        <v>#N/A</v>
      </c>
    </row>
    <row r="160" spans="1:13">
      <c r="A160">
        <v>161</v>
      </c>
      <c r="B160" s="131" t="s">
        <v>494</v>
      </c>
      <c r="C160" s="131" t="s">
        <v>495</v>
      </c>
      <c r="D160" s="131" t="s">
        <v>7</v>
      </c>
      <c r="E160" s="131" t="s">
        <v>432</v>
      </c>
      <c r="F160" s="132">
        <v>44572</v>
      </c>
      <c r="G160" s="131" t="s">
        <v>26</v>
      </c>
      <c r="H160" s="131" t="s">
        <v>8</v>
      </c>
      <c r="I160" s="132"/>
      <c r="J160" s="131" t="s">
        <v>154</v>
      </c>
      <c r="K160" s="131" t="str">
        <f>J160&amp;COUNTIF($J$2:J160,J160)</f>
        <v>المكشفين159</v>
      </c>
      <c r="L160" s="131"/>
      <c r="M160" s="131" t="e">
        <f t="shared" si="2"/>
        <v>#N/A</v>
      </c>
    </row>
    <row r="161" spans="1:13">
      <c r="A161">
        <v>162</v>
      </c>
      <c r="B161" s="131" t="s">
        <v>496</v>
      </c>
      <c r="C161" s="131" t="s">
        <v>497</v>
      </c>
      <c r="D161" s="131" t="s">
        <v>7</v>
      </c>
      <c r="E161" s="131" t="s">
        <v>432</v>
      </c>
      <c r="F161" s="132">
        <v>44572</v>
      </c>
      <c r="G161" s="131" t="s">
        <v>26</v>
      </c>
      <c r="H161" s="131" t="s">
        <v>8</v>
      </c>
      <c r="I161" s="132"/>
      <c r="J161" s="131" t="s">
        <v>154</v>
      </c>
      <c r="K161" s="131" t="str">
        <f>J161&amp;COUNTIF($J$2:J161,J161)</f>
        <v>المكشفين160</v>
      </c>
      <c r="L161" s="131"/>
      <c r="M161" s="131" t="e">
        <f t="shared" si="2"/>
        <v>#N/A</v>
      </c>
    </row>
    <row r="162" spans="1:13">
      <c r="A162">
        <v>163</v>
      </c>
      <c r="B162" s="131" t="s">
        <v>498</v>
      </c>
      <c r="C162" s="131" t="s">
        <v>499</v>
      </c>
      <c r="D162" s="131" t="s">
        <v>7</v>
      </c>
      <c r="E162" s="131" t="s">
        <v>500</v>
      </c>
      <c r="F162" s="132">
        <v>44573</v>
      </c>
      <c r="G162" s="131" t="s">
        <v>35</v>
      </c>
      <c r="H162" s="131" t="s">
        <v>8</v>
      </c>
      <c r="I162" s="132"/>
      <c r="J162" s="131" t="s">
        <v>154</v>
      </c>
      <c r="K162" s="131" t="str">
        <f>J162&amp;COUNTIF($J$2:J162,J162)</f>
        <v>المكشفين161</v>
      </c>
      <c r="L162" s="131"/>
      <c r="M162" s="131" t="e">
        <f t="shared" si="2"/>
        <v>#N/A</v>
      </c>
    </row>
    <row r="163" spans="1:13">
      <c r="A163">
        <v>164</v>
      </c>
      <c r="B163" s="131" t="s">
        <v>501</v>
      </c>
      <c r="C163" s="131" t="s">
        <v>502</v>
      </c>
      <c r="D163" s="131" t="s">
        <v>7</v>
      </c>
      <c r="E163" s="131" t="s">
        <v>500</v>
      </c>
      <c r="F163" s="132">
        <v>44573</v>
      </c>
      <c r="G163" s="131" t="s">
        <v>26</v>
      </c>
      <c r="H163" s="131" t="s">
        <v>8</v>
      </c>
      <c r="I163" s="132"/>
      <c r="J163" s="131" t="s">
        <v>154</v>
      </c>
      <c r="K163" s="131" t="str">
        <f>J163&amp;COUNTIF($J$2:J163,J163)</f>
        <v>المكشفين162</v>
      </c>
      <c r="L163" s="131"/>
      <c r="M163" s="131" t="e">
        <f t="shared" si="2"/>
        <v>#N/A</v>
      </c>
    </row>
    <row r="164" spans="1:13">
      <c r="A164">
        <v>165</v>
      </c>
      <c r="B164" s="131" t="s">
        <v>503</v>
      </c>
      <c r="C164" s="131" t="s">
        <v>504</v>
      </c>
      <c r="D164" s="131" t="s">
        <v>7</v>
      </c>
      <c r="E164" s="131"/>
      <c r="F164" s="132"/>
      <c r="G164" s="131" t="s">
        <v>35</v>
      </c>
      <c r="H164" s="131" t="s">
        <v>8</v>
      </c>
      <c r="I164" s="132"/>
      <c r="J164" s="131" t="s">
        <v>154</v>
      </c>
      <c r="K164" s="131" t="str">
        <f>J164&amp;COUNTIF($J$2:J164,J164)</f>
        <v>المكشفين163</v>
      </c>
      <c r="L164" s="131"/>
      <c r="M164" s="131" t="e">
        <f t="shared" si="2"/>
        <v>#N/A</v>
      </c>
    </row>
    <row r="165" spans="1:13">
      <c r="A165">
        <v>166</v>
      </c>
      <c r="B165" s="131" t="s">
        <v>505</v>
      </c>
      <c r="C165" s="131" t="s">
        <v>506</v>
      </c>
      <c r="D165" s="131" t="s">
        <v>7</v>
      </c>
      <c r="E165" s="131" t="s">
        <v>500</v>
      </c>
      <c r="F165" s="132"/>
      <c r="G165" s="131" t="s">
        <v>26</v>
      </c>
      <c r="H165" s="131" t="s">
        <v>8</v>
      </c>
      <c r="I165" s="132"/>
      <c r="J165" s="131" t="s">
        <v>154</v>
      </c>
      <c r="K165" s="131" t="str">
        <f>J165&amp;COUNTIF($J$2:J165,J165)</f>
        <v>المكشفين164</v>
      </c>
      <c r="L165" s="131"/>
      <c r="M165" s="131" t="e">
        <f t="shared" si="2"/>
        <v>#N/A</v>
      </c>
    </row>
    <row r="166" spans="1:13">
      <c r="A166">
        <v>167</v>
      </c>
      <c r="B166" s="131" t="s">
        <v>507</v>
      </c>
      <c r="C166" s="131" t="s">
        <v>508</v>
      </c>
      <c r="D166" s="131" t="s">
        <v>7</v>
      </c>
      <c r="E166" s="131" t="s">
        <v>500</v>
      </c>
      <c r="F166" s="132">
        <v>44573</v>
      </c>
      <c r="G166" s="131" t="s">
        <v>26</v>
      </c>
      <c r="H166" s="131" t="s">
        <v>27</v>
      </c>
      <c r="I166" s="132"/>
      <c r="J166" s="131" t="s">
        <v>154</v>
      </c>
      <c r="K166" s="131" t="str">
        <f>J166&amp;COUNTIF($J$2:J166,J166)</f>
        <v>المكشفين165</v>
      </c>
      <c r="L166" s="131"/>
      <c r="M166" s="131" t="e">
        <f t="shared" si="2"/>
        <v>#N/A</v>
      </c>
    </row>
    <row r="167" spans="1:13">
      <c r="A167">
        <v>168</v>
      </c>
      <c r="B167" s="131" t="s">
        <v>509</v>
      </c>
      <c r="C167" s="131" t="s">
        <v>510</v>
      </c>
      <c r="D167" s="131" t="s">
        <v>7</v>
      </c>
      <c r="E167" s="131" t="s">
        <v>500</v>
      </c>
      <c r="F167" s="132">
        <v>44573</v>
      </c>
      <c r="G167" s="131" t="s">
        <v>26</v>
      </c>
      <c r="H167" s="131" t="s">
        <v>8</v>
      </c>
      <c r="I167" s="132"/>
      <c r="J167" s="131" t="s">
        <v>154</v>
      </c>
      <c r="K167" s="131" t="str">
        <f>J167&amp;COUNTIF($J$2:J167,J167)</f>
        <v>المكشفين166</v>
      </c>
      <c r="L167" s="131"/>
      <c r="M167" s="131" t="e">
        <f t="shared" si="2"/>
        <v>#N/A</v>
      </c>
    </row>
    <row r="168" spans="1:13">
      <c r="A168">
        <v>169</v>
      </c>
      <c r="B168" s="131" t="s">
        <v>511</v>
      </c>
      <c r="C168" s="131" t="s">
        <v>512</v>
      </c>
      <c r="D168" s="131" t="s">
        <v>7</v>
      </c>
      <c r="E168" s="131" t="s">
        <v>500</v>
      </c>
      <c r="F168" s="132"/>
      <c r="G168" s="131" t="s">
        <v>26</v>
      </c>
      <c r="H168" s="131" t="s">
        <v>27</v>
      </c>
      <c r="I168" s="132"/>
      <c r="J168" s="131" t="s">
        <v>154</v>
      </c>
      <c r="K168" s="131" t="str">
        <f>J168&amp;COUNTIF($J$2:J168,J168)</f>
        <v>المكشفين167</v>
      </c>
      <c r="L168" s="131"/>
      <c r="M168" s="131" t="e">
        <f t="shared" si="2"/>
        <v>#N/A</v>
      </c>
    </row>
    <row r="169" spans="1:13">
      <c r="A169">
        <v>170</v>
      </c>
      <c r="B169" s="131" t="s">
        <v>513</v>
      </c>
      <c r="C169" s="131" t="s">
        <v>514</v>
      </c>
      <c r="D169" s="131" t="s">
        <v>7</v>
      </c>
      <c r="E169" s="131" t="s">
        <v>432</v>
      </c>
      <c r="F169" s="132">
        <v>44572</v>
      </c>
      <c r="G169" s="131" t="s">
        <v>35</v>
      </c>
      <c r="H169" s="131" t="s">
        <v>27</v>
      </c>
      <c r="I169" s="132"/>
      <c r="J169" s="131" t="s">
        <v>154</v>
      </c>
      <c r="K169" s="131" t="str">
        <f>J169&amp;COUNTIF($J$2:J169,J169)</f>
        <v>المكشفين168</v>
      </c>
      <c r="L169" s="131"/>
      <c r="M169" s="131" t="e">
        <f t="shared" si="2"/>
        <v>#N/A</v>
      </c>
    </row>
    <row r="170" spans="1:13">
      <c r="A170">
        <v>171</v>
      </c>
      <c r="B170" s="131" t="s">
        <v>515</v>
      </c>
      <c r="C170" s="131" t="s">
        <v>516</v>
      </c>
      <c r="D170" s="131" t="s">
        <v>7</v>
      </c>
      <c r="E170" s="131" t="s">
        <v>500</v>
      </c>
      <c r="F170" s="132"/>
      <c r="G170" s="131" t="s">
        <v>26</v>
      </c>
      <c r="H170" s="131" t="s">
        <v>8</v>
      </c>
      <c r="I170" s="132"/>
      <c r="J170" s="131" t="s">
        <v>154</v>
      </c>
      <c r="K170" s="131" t="str">
        <f>J170&amp;COUNTIF($J$2:J170,J170)</f>
        <v>المكشفين169</v>
      </c>
      <c r="L170" s="131"/>
      <c r="M170" s="131" t="e">
        <f t="shared" si="2"/>
        <v>#N/A</v>
      </c>
    </row>
    <row r="171" spans="1:13">
      <c r="A171">
        <v>172</v>
      </c>
      <c r="B171" s="131" t="s">
        <v>517</v>
      </c>
      <c r="C171" s="131" t="s">
        <v>518</v>
      </c>
      <c r="D171" s="131" t="s">
        <v>7</v>
      </c>
      <c r="E171" s="131" t="s">
        <v>326</v>
      </c>
      <c r="F171" s="132"/>
      <c r="G171" s="131" t="s">
        <v>26</v>
      </c>
      <c r="H171" s="131" t="s">
        <v>8</v>
      </c>
      <c r="I171" s="132"/>
      <c r="J171" s="131" t="s">
        <v>154</v>
      </c>
      <c r="K171" s="131" t="str">
        <f>J171&amp;COUNTIF($J$2:J171,J171)</f>
        <v>المكشفين170</v>
      </c>
      <c r="L171" s="131"/>
      <c r="M171" s="131" t="e">
        <f t="shared" si="2"/>
        <v>#N/A</v>
      </c>
    </row>
    <row r="172" spans="1:13">
      <c r="A172">
        <v>173</v>
      </c>
      <c r="B172" s="131" t="s">
        <v>519</v>
      </c>
      <c r="C172" s="131" t="s">
        <v>520</v>
      </c>
      <c r="D172" s="131" t="s">
        <v>7</v>
      </c>
      <c r="E172" s="131" t="s">
        <v>500</v>
      </c>
      <c r="F172" s="132">
        <v>44573</v>
      </c>
      <c r="G172" s="131" t="s">
        <v>26</v>
      </c>
      <c r="H172" s="131" t="s">
        <v>8</v>
      </c>
      <c r="I172" s="132"/>
      <c r="J172" s="131" t="s">
        <v>154</v>
      </c>
      <c r="K172" s="131" t="str">
        <f>J172&amp;COUNTIF($J$2:J172,J172)</f>
        <v>المكشفين171</v>
      </c>
      <c r="L172" s="131"/>
      <c r="M172" s="131" t="e">
        <f t="shared" si="2"/>
        <v>#N/A</v>
      </c>
    </row>
    <row r="173" spans="1:13">
      <c r="A173">
        <v>174</v>
      </c>
      <c r="B173" s="131" t="s">
        <v>521</v>
      </c>
      <c r="C173" s="131" t="s">
        <v>522</v>
      </c>
      <c r="D173" s="131" t="s">
        <v>7</v>
      </c>
      <c r="E173" s="131" t="s">
        <v>500</v>
      </c>
      <c r="F173" s="132">
        <v>44573</v>
      </c>
      <c r="G173" s="131" t="s">
        <v>26</v>
      </c>
      <c r="H173" s="131" t="s">
        <v>8</v>
      </c>
      <c r="I173" s="132"/>
      <c r="J173" s="131" t="s">
        <v>154</v>
      </c>
      <c r="K173" s="131" t="str">
        <f>J173&amp;COUNTIF($J$2:J173,J173)</f>
        <v>المكشفين172</v>
      </c>
      <c r="L173" s="131"/>
      <c r="M173" s="131" t="e">
        <f t="shared" si="2"/>
        <v>#N/A</v>
      </c>
    </row>
    <row r="174" spans="1:13">
      <c r="A174">
        <v>175</v>
      </c>
      <c r="B174" s="131" t="s">
        <v>523</v>
      </c>
      <c r="C174" s="131" t="s">
        <v>524</v>
      </c>
      <c r="D174" s="131" t="s">
        <v>7</v>
      </c>
      <c r="E174" s="131" t="s">
        <v>326</v>
      </c>
      <c r="F174" s="132"/>
      <c r="G174" s="131" t="s">
        <v>26</v>
      </c>
      <c r="H174" s="131" t="s">
        <v>27</v>
      </c>
      <c r="I174" s="132"/>
      <c r="J174" s="131" t="s">
        <v>154</v>
      </c>
      <c r="K174" s="131" t="str">
        <f>J174&amp;COUNTIF($J$2:J174,J174)</f>
        <v>المكشفين173</v>
      </c>
      <c r="L174" s="131"/>
      <c r="M174" s="131" t="e">
        <f t="shared" si="2"/>
        <v>#N/A</v>
      </c>
    </row>
    <row r="175" spans="1:13">
      <c r="A175">
        <v>176</v>
      </c>
      <c r="B175" s="131" t="s">
        <v>525</v>
      </c>
      <c r="C175" s="131" t="s">
        <v>526</v>
      </c>
      <c r="D175" s="131" t="s">
        <v>7</v>
      </c>
      <c r="E175" s="131"/>
      <c r="F175" s="132"/>
      <c r="G175" s="131" t="s">
        <v>35</v>
      </c>
      <c r="H175" s="131" t="s">
        <v>27</v>
      </c>
      <c r="I175" s="132"/>
      <c r="J175" s="131" t="s">
        <v>154</v>
      </c>
      <c r="K175" s="131" t="str">
        <f>J175&amp;COUNTIF($J$2:J175,J175)</f>
        <v>المكشفين174</v>
      </c>
      <c r="L175" s="131"/>
      <c r="M175" s="131" t="e">
        <f t="shared" si="2"/>
        <v>#N/A</v>
      </c>
    </row>
    <row r="176" spans="1:13">
      <c r="A176">
        <v>177</v>
      </c>
      <c r="B176" s="131" t="s">
        <v>527</v>
      </c>
      <c r="C176" s="131" t="s">
        <v>528</v>
      </c>
      <c r="D176" s="131" t="s">
        <v>7</v>
      </c>
      <c r="E176" s="131" t="s">
        <v>500</v>
      </c>
      <c r="F176" s="132">
        <v>44573</v>
      </c>
      <c r="G176" s="131" t="s">
        <v>26</v>
      </c>
      <c r="H176" s="131" t="s">
        <v>27</v>
      </c>
      <c r="I176" s="132"/>
      <c r="J176" s="131" t="s">
        <v>154</v>
      </c>
      <c r="K176" s="131" t="str">
        <f>J176&amp;COUNTIF($J$2:J176,J176)</f>
        <v>المكشفين175</v>
      </c>
      <c r="L176" s="131"/>
      <c r="M176" s="131" t="e">
        <f t="shared" si="2"/>
        <v>#N/A</v>
      </c>
    </row>
    <row r="177" spans="1:13">
      <c r="A177">
        <v>178</v>
      </c>
      <c r="B177" s="131" t="s">
        <v>529</v>
      </c>
      <c r="C177" s="131" t="s">
        <v>530</v>
      </c>
      <c r="D177" s="131" t="s">
        <v>7</v>
      </c>
      <c r="E177" s="131" t="s">
        <v>500</v>
      </c>
      <c r="F177" s="132">
        <v>44573</v>
      </c>
      <c r="G177" s="131" t="s">
        <v>26</v>
      </c>
      <c r="H177" s="131" t="s">
        <v>27</v>
      </c>
      <c r="I177" s="132"/>
      <c r="J177" s="131" t="s">
        <v>154</v>
      </c>
      <c r="K177" s="131" t="str">
        <f>J177&amp;COUNTIF($J$2:J177,J177)</f>
        <v>المكشفين176</v>
      </c>
      <c r="L177" s="131"/>
      <c r="M177" s="131" t="e">
        <f t="shared" si="2"/>
        <v>#N/A</v>
      </c>
    </row>
    <row r="178" spans="1:13">
      <c r="A178">
        <v>179</v>
      </c>
      <c r="B178" s="131" t="s">
        <v>531</v>
      </c>
      <c r="C178" s="131" t="s">
        <v>532</v>
      </c>
      <c r="D178" s="131" t="s">
        <v>7</v>
      </c>
      <c r="E178" s="131"/>
      <c r="F178" s="132"/>
      <c r="G178" s="131" t="s">
        <v>35</v>
      </c>
      <c r="H178" s="131" t="s">
        <v>8</v>
      </c>
      <c r="I178" s="132"/>
      <c r="J178" s="131" t="s">
        <v>154</v>
      </c>
      <c r="K178" s="131" t="str">
        <f>J178&amp;COUNTIF($J$2:J178,J178)</f>
        <v>المكشفين177</v>
      </c>
      <c r="L178" s="131"/>
      <c r="M178" s="131" t="e">
        <f t="shared" si="2"/>
        <v>#N/A</v>
      </c>
    </row>
    <row r="179" spans="1:13">
      <c r="A179">
        <v>180</v>
      </c>
      <c r="B179" s="131" t="s">
        <v>533</v>
      </c>
      <c r="C179" s="131" t="s">
        <v>534</v>
      </c>
      <c r="D179" s="131" t="s">
        <v>7</v>
      </c>
      <c r="E179" s="131" t="s">
        <v>432</v>
      </c>
      <c r="F179" s="132">
        <v>44572</v>
      </c>
      <c r="G179" s="131" t="s">
        <v>26</v>
      </c>
      <c r="H179" s="131" t="s">
        <v>8</v>
      </c>
      <c r="I179" s="132"/>
      <c r="J179" s="131" t="s">
        <v>154</v>
      </c>
      <c r="K179" s="131" t="str">
        <f>J179&amp;COUNTIF($J$2:J179,J179)</f>
        <v>المكشفين178</v>
      </c>
      <c r="L179" s="131"/>
      <c r="M179" s="131" t="e">
        <f t="shared" si="2"/>
        <v>#N/A</v>
      </c>
    </row>
    <row r="180" spans="1:13">
      <c r="A180">
        <v>181</v>
      </c>
      <c r="B180" s="131" t="s">
        <v>535</v>
      </c>
      <c r="C180" s="131" t="s">
        <v>536</v>
      </c>
      <c r="D180" s="131" t="s">
        <v>7</v>
      </c>
      <c r="E180" s="131" t="s">
        <v>500</v>
      </c>
      <c r="F180" s="132">
        <v>44573</v>
      </c>
      <c r="G180" s="131" t="s">
        <v>26</v>
      </c>
      <c r="H180" s="131" t="s">
        <v>27</v>
      </c>
      <c r="I180" s="132"/>
      <c r="J180" s="131" t="s">
        <v>154</v>
      </c>
      <c r="K180" s="131" t="str">
        <f>J180&amp;COUNTIF($J$2:J180,J180)</f>
        <v>المكشفين179</v>
      </c>
      <c r="L180" s="131"/>
      <c r="M180" s="131" t="e">
        <f t="shared" si="2"/>
        <v>#N/A</v>
      </c>
    </row>
    <row r="181" spans="1:13">
      <c r="A181">
        <v>182</v>
      </c>
      <c r="B181" s="131" t="s">
        <v>537</v>
      </c>
      <c r="C181" s="131" t="s">
        <v>538</v>
      </c>
      <c r="D181" s="131" t="s">
        <v>7</v>
      </c>
      <c r="E181" s="131" t="s">
        <v>451</v>
      </c>
      <c r="F181" s="132"/>
      <c r="G181" s="131" t="s">
        <v>26</v>
      </c>
      <c r="H181" s="131" t="s">
        <v>27</v>
      </c>
      <c r="I181" s="132"/>
      <c r="J181" s="131" t="s">
        <v>154</v>
      </c>
      <c r="K181" s="131" t="str">
        <f>J181&amp;COUNTIF($J$2:J181,J181)</f>
        <v>المكشفين180</v>
      </c>
      <c r="L181" s="131"/>
      <c r="M181" s="131" t="e">
        <f t="shared" si="2"/>
        <v>#N/A</v>
      </c>
    </row>
    <row r="182" spans="1:13">
      <c r="A182">
        <v>183</v>
      </c>
      <c r="B182" s="131" t="s">
        <v>539</v>
      </c>
      <c r="C182" s="131" t="s">
        <v>540</v>
      </c>
      <c r="D182" s="131" t="s">
        <v>7</v>
      </c>
      <c r="E182" s="131" t="s">
        <v>200</v>
      </c>
      <c r="F182" s="132">
        <v>44531</v>
      </c>
      <c r="G182" s="131" t="s">
        <v>26</v>
      </c>
      <c r="H182" s="131" t="s">
        <v>27</v>
      </c>
      <c r="I182" s="132"/>
      <c r="J182" s="131" t="s">
        <v>154</v>
      </c>
      <c r="K182" s="131" t="str">
        <f>J182&amp;COUNTIF($J$2:J182,J182)</f>
        <v>المكشفين181</v>
      </c>
      <c r="L182" s="131"/>
      <c r="M182" s="131" t="e">
        <f t="shared" si="2"/>
        <v>#N/A</v>
      </c>
    </row>
    <row r="183" spans="1:13">
      <c r="A183">
        <v>184</v>
      </c>
      <c r="B183" s="131" t="s">
        <v>541</v>
      </c>
      <c r="C183" s="131" t="s">
        <v>542</v>
      </c>
      <c r="D183" s="131" t="s">
        <v>7</v>
      </c>
      <c r="E183" s="131" t="s">
        <v>277</v>
      </c>
      <c r="F183" s="132">
        <v>44552</v>
      </c>
      <c r="G183" s="131" t="s">
        <v>26</v>
      </c>
      <c r="H183" s="131" t="s">
        <v>8</v>
      </c>
      <c r="I183" s="132"/>
      <c r="J183" s="131" t="s">
        <v>154</v>
      </c>
      <c r="K183" s="131" t="str">
        <f>J183&amp;COUNTIF($J$2:J183,J183)</f>
        <v>المكشفين182</v>
      </c>
      <c r="L183" s="131"/>
      <c r="M183" s="131" t="e">
        <f t="shared" si="2"/>
        <v>#N/A</v>
      </c>
    </row>
    <row r="184" spans="1:13">
      <c r="A184">
        <v>185</v>
      </c>
      <c r="B184" s="131" t="s">
        <v>100</v>
      </c>
      <c r="C184" s="131" t="s">
        <v>101</v>
      </c>
      <c r="D184" s="131" t="s">
        <v>7</v>
      </c>
      <c r="E184" s="131" t="s">
        <v>200</v>
      </c>
      <c r="F184" s="132">
        <v>44531</v>
      </c>
      <c r="G184" s="131" t="s">
        <v>26</v>
      </c>
      <c r="H184" s="131" t="s">
        <v>8</v>
      </c>
      <c r="I184" s="132"/>
      <c r="J184" s="131" t="s">
        <v>154</v>
      </c>
      <c r="K184" s="131" t="str">
        <f>J184&amp;COUNTIF($J$2:J184,J184)</f>
        <v>المكشفين183</v>
      </c>
      <c r="L184" s="131"/>
      <c r="M184" s="131" t="e">
        <f t="shared" si="2"/>
        <v>#N/A</v>
      </c>
    </row>
    <row r="185" spans="1:13">
      <c r="A185">
        <v>1</v>
      </c>
      <c r="B185" s="131" t="s">
        <v>543</v>
      </c>
      <c r="C185" s="131" t="s">
        <v>544</v>
      </c>
      <c r="D185" s="131" t="s">
        <v>7</v>
      </c>
      <c r="E185" s="131"/>
      <c r="F185" s="132"/>
      <c r="G185" s="131" t="s">
        <v>26</v>
      </c>
      <c r="H185" s="131" t="s">
        <v>27</v>
      </c>
      <c r="I185" s="132">
        <v>44543</v>
      </c>
      <c r="J185" s="131" t="s">
        <v>545</v>
      </c>
      <c r="K185" s="131" t="str">
        <f>J185&amp;COUNTIF($J$2:J185,J185)</f>
        <v>المراجعين1</v>
      </c>
      <c r="L185" s="131"/>
      <c r="M185" s="131" t="e">
        <f t="shared" si="2"/>
        <v>#N/A</v>
      </c>
    </row>
    <row r="186" spans="1:13">
      <c r="A186">
        <v>2</v>
      </c>
      <c r="B186" s="131" t="s">
        <v>546</v>
      </c>
      <c r="C186" s="131" t="s">
        <v>547</v>
      </c>
      <c r="D186" s="131" t="s">
        <v>7</v>
      </c>
      <c r="E186" s="131"/>
      <c r="F186" s="132"/>
      <c r="G186" s="131" t="s">
        <v>548</v>
      </c>
      <c r="H186" s="131" t="s">
        <v>8</v>
      </c>
      <c r="I186" s="132">
        <v>44534</v>
      </c>
      <c r="J186" s="131" t="s">
        <v>545</v>
      </c>
      <c r="K186" s="131" t="str">
        <f>J186&amp;COUNTIF($J$2:J186,J186)</f>
        <v>المراجعين2</v>
      </c>
      <c r="L186" s="131"/>
      <c r="M186" s="131" t="e">
        <f t="shared" si="2"/>
        <v>#N/A</v>
      </c>
    </row>
    <row r="187" spans="1:13">
      <c r="A187">
        <v>3</v>
      </c>
      <c r="B187" s="131" t="s">
        <v>549</v>
      </c>
      <c r="C187" s="131" t="s">
        <v>550</v>
      </c>
      <c r="D187" s="131" t="s">
        <v>7</v>
      </c>
      <c r="E187" s="131"/>
      <c r="F187" s="132"/>
      <c r="G187" s="131" t="s">
        <v>548</v>
      </c>
      <c r="H187" s="131" t="s">
        <v>8</v>
      </c>
      <c r="I187" s="132">
        <v>44555</v>
      </c>
      <c r="J187" s="131" t="s">
        <v>545</v>
      </c>
      <c r="K187" s="131" t="str">
        <f>J187&amp;COUNTIF($J$2:J187,J187)</f>
        <v>المراجعين3</v>
      </c>
      <c r="L187" s="131"/>
      <c r="M187" s="131" t="e">
        <f t="shared" si="2"/>
        <v>#N/A</v>
      </c>
    </row>
    <row r="188" spans="1:13">
      <c r="A188">
        <v>4</v>
      </c>
      <c r="B188" s="131" t="s">
        <v>551</v>
      </c>
      <c r="C188" s="131" t="s">
        <v>552</v>
      </c>
      <c r="D188" s="131" t="s">
        <v>7</v>
      </c>
      <c r="E188" s="131"/>
      <c r="F188" s="132"/>
      <c r="G188" s="131" t="s">
        <v>548</v>
      </c>
      <c r="H188" s="131" t="s">
        <v>8</v>
      </c>
      <c r="I188" s="132">
        <v>44566</v>
      </c>
      <c r="J188" s="131" t="s">
        <v>545</v>
      </c>
      <c r="K188" s="131" t="str">
        <f>J188&amp;COUNTIF($J$2:J188,J188)</f>
        <v>المراجعين4</v>
      </c>
      <c r="L188" s="131"/>
      <c r="M188" s="131" t="e">
        <f t="shared" si="2"/>
        <v>#N/A</v>
      </c>
    </row>
    <row r="189" spans="1:13">
      <c r="A189">
        <v>5</v>
      </c>
      <c r="B189" s="131" t="s">
        <v>553</v>
      </c>
      <c r="C189" s="131" t="s">
        <v>554</v>
      </c>
      <c r="D189" s="131" t="s">
        <v>7</v>
      </c>
      <c r="E189" s="131"/>
      <c r="F189" s="132"/>
      <c r="G189" s="131" t="s">
        <v>548</v>
      </c>
      <c r="H189" s="131" t="s">
        <v>8</v>
      </c>
      <c r="I189" s="132">
        <v>44567</v>
      </c>
      <c r="J189" s="131" t="s">
        <v>545</v>
      </c>
      <c r="K189" s="131" t="str">
        <f>J189&amp;COUNTIF($J$2:J189,J189)</f>
        <v>المراجعين5</v>
      </c>
      <c r="L189" s="131"/>
      <c r="M189" s="131" t="e">
        <f t="shared" si="2"/>
        <v>#N/A</v>
      </c>
    </row>
    <row r="190" spans="1:13">
      <c r="A190">
        <v>6</v>
      </c>
      <c r="B190" s="131" t="s">
        <v>555</v>
      </c>
      <c r="C190" s="131" t="s">
        <v>556</v>
      </c>
      <c r="D190" s="131" t="s">
        <v>7</v>
      </c>
      <c r="E190" s="131"/>
      <c r="F190" s="132"/>
      <c r="G190" s="131" t="s">
        <v>548</v>
      </c>
      <c r="H190" s="131" t="s">
        <v>8</v>
      </c>
      <c r="I190" s="132">
        <v>44570</v>
      </c>
      <c r="J190" s="131" t="s">
        <v>545</v>
      </c>
      <c r="K190" s="131" t="str">
        <f>J190&amp;COUNTIF($J$2:J190,J190)</f>
        <v>المراجعين6</v>
      </c>
      <c r="L190" s="131"/>
      <c r="M190" s="131" t="e">
        <f t="shared" si="2"/>
        <v>#N/A</v>
      </c>
    </row>
    <row r="191" spans="1:13">
      <c r="A191">
        <v>1</v>
      </c>
      <c r="B191" s="131" t="s">
        <v>6</v>
      </c>
      <c r="C191" s="131"/>
      <c r="D191" s="131" t="s">
        <v>7</v>
      </c>
      <c r="E191" s="131"/>
      <c r="F191" s="132"/>
      <c r="G191" s="131"/>
      <c r="H191" s="131" t="s">
        <v>8</v>
      </c>
      <c r="I191" s="132"/>
      <c r="J191" s="131" t="s">
        <v>557</v>
      </c>
      <c r="K191" s="131" t="str">
        <f>J191&amp;COUNTIF($J$2:J191,J191)</f>
        <v>المشرفين1</v>
      </c>
      <c r="L191" s="131"/>
      <c r="M191" s="131" t="e">
        <f t="shared" si="2"/>
        <v>#N/A</v>
      </c>
    </row>
    <row r="192" spans="1:13">
      <c r="A192">
        <v>2</v>
      </c>
      <c r="B192" s="131" t="s">
        <v>10</v>
      </c>
      <c r="C192" s="131" t="s">
        <v>11</v>
      </c>
      <c r="D192" s="131" t="s">
        <v>7</v>
      </c>
      <c r="E192" s="131"/>
      <c r="F192" s="132"/>
      <c r="G192" s="131"/>
      <c r="H192" s="131" t="s">
        <v>9</v>
      </c>
      <c r="I192" s="132"/>
      <c r="J192" s="131" t="s">
        <v>557</v>
      </c>
      <c r="K192" s="131" t="str">
        <f>J192&amp;COUNTIF($J$2:J192,J192)</f>
        <v>المشرفين2</v>
      </c>
      <c r="L192" s="131"/>
      <c r="M192" s="131" t="e">
        <f t="shared" si="2"/>
        <v>#N/A</v>
      </c>
    </row>
    <row r="193" spans="1:13">
      <c r="A193">
        <v>3</v>
      </c>
      <c r="B193" s="131" t="s">
        <v>12</v>
      </c>
      <c r="C193" s="131" t="s">
        <v>13</v>
      </c>
      <c r="D193" s="131" t="s">
        <v>7</v>
      </c>
      <c r="E193" s="131"/>
      <c r="F193" s="132"/>
      <c r="G193" s="131"/>
      <c r="H193" s="131" t="s">
        <v>8</v>
      </c>
      <c r="I193" s="132"/>
      <c r="J193" s="131" t="s">
        <v>557</v>
      </c>
      <c r="K193" s="131" t="str">
        <f>J193&amp;COUNTIF($J$2:J193,J193)</f>
        <v>المشرفين3</v>
      </c>
      <c r="L193" s="131"/>
      <c r="M193" s="131" t="e">
        <f t="shared" si="2"/>
        <v>#N/A</v>
      </c>
    </row>
    <row r="194" spans="1:13">
      <c r="A194">
        <v>4</v>
      </c>
      <c r="B194" s="131" t="s">
        <v>14</v>
      </c>
      <c r="C194" s="131" t="s">
        <v>15</v>
      </c>
      <c r="D194" s="131" t="s">
        <v>7</v>
      </c>
      <c r="E194" s="131"/>
      <c r="F194" s="132"/>
      <c r="G194" s="131"/>
      <c r="H194" s="131" t="s">
        <v>9</v>
      </c>
      <c r="I194" s="132"/>
      <c r="J194" s="131" t="s">
        <v>557</v>
      </c>
      <c r="K194" s="131" t="str">
        <f>J194&amp;COUNTIF($J$2:J194,J194)</f>
        <v>المشرفين4</v>
      </c>
      <c r="L194" s="131"/>
      <c r="M194" s="131" t="e">
        <f t="shared" ref="M194:M251" si="3">VLOOKUP($L$2&amp;ROW()-2,$A$2:$J$250,MATCH($M193,B194,0),FALSE)</f>
        <v>#N/A</v>
      </c>
    </row>
    <row r="195" spans="1:13">
      <c r="A195">
        <v>5</v>
      </c>
      <c r="B195" s="131" t="s">
        <v>16</v>
      </c>
      <c r="C195" s="131" t="s">
        <v>17</v>
      </c>
      <c r="D195" s="131" t="s">
        <v>7</v>
      </c>
      <c r="E195" s="131"/>
      <c r="F195" s="132"/>
      <c r="G195" s="131"/>
      <c r="H195" s="131" t="s">
        <v>8</v>
      </c>
      <c r="I195" s="132"/>
      <c r="J195" s="131" t="s">
        <v>557</v>
      </c>
      <c r="K195" s="131" t="str">
        <f>J195&amp;COUNTIF($J$2:J195,J195)</f>
        <v>المشرفين5</v>
      </c>
      <c r="L195" s="131"/>
      <c r="M195" s="131" t="e">
        <f t="shared" si="3"/>
        <v>#N/A</v>
      </c>
    </row>
    <row r="196" spans="1:13">
      <c r="B196" s="131" t="s">
        <v>18</v>
      </c>
      <c r="C196" s="131" t="s">
        <v>19</v>
      </c>
      <c r="D196" s="131" t="s">
        <v>7</v>
      </c>
      <c r="E196" s="131"/>
      <c r="F196" s="132"/>
      <c r="G196" s="131"/>
      <c r="H196" s="131" t="s">
        <v>8</v>
      </c>
      <c r="I196" s="132"/>
      <c r="J196" s="131" t="s">
        <v>557</v>
      </c>
      <c r="K196" s="131" t="str">
        <f>J196&amp;COUNTIF($J$2:J196,J196)</f>
        <v>المشرفين6</v>
      </c>
      <c r="L196" s="131"/>
      <c r="M196" s="131" t="e">
        <f t="shared" si="3"/>
        <v>#N/A</v>
      </c>
    </row>
    <row r="197" spans="1:13">
      <c r="A197">
        <v>1</v>
      </c>
      <c r="B197" s="131" t="s">
        <v>24</v>
      </c>
      <c r="C197" s="131" t="s">
        <v>25</v>
      </c>
      <c r="D197" s="131" t="s">
        <v>7</v>
      </c>
      <c r="E197" s="131" t="s">
        <v>170</v>
      </c>
      <c r="F197" s="132"/>
      <c r="G197" s="131" t="s">
        <v>26</v>
      </c>
      <c r="H197" s="131" t="s">
        <v>27</v>
      </c>
      <c r="I197" s="132"/>
      <c r="J197" s="131" t="s">
        <v>558</v>
      </c>
      <c r="K197" s="131" t="str">
        <f>J197&amp;COUNTIF($J$2:J197,J197)</f>
        <v>المستقيلين_والمستبعدين1</v>
      </c>
      <c r="L197" s="131"/>
      <c r="M197" s="131" t="e">
        <f t="shared" si="3"/>
        <v>#N/A</v>
      </c>
    </row>
    <row r="198" spans="1:13">
      <c r="A198">
        <v>2</v>
      </c>
      <c r="B198" s="131" t="s">
        <v>29</v>
      </c>
      <c r="C198" s="131" t="s">
        <v>30</v>
      </c>
      <c r="D198" s="131" t="s">
        <v>7</v>
      </c>
      <c r="E198" s="131" t="s">
        <v>183</v>
      </c>
      <c r="F198" s="132"/>
      <c r="G198" s="131" t="s">
        <v>26</v>
      </c>
      <c r="H198" s="131" t="s">
        <v>27</v>
      </c>
      <c r="I198" s="132"/>
      <c r="J198" s="131" t="s">
        <v>558</v>
      </c>
      <c r="K198" s="131" t="str">
        <f>J198&amp;COUNTIF($J$2:J198,J198)</f>
        <v>المستقيلين_والمستبعدين2</v>
      </c>
      <c r="L198" s="131"/>
      <c r="M198" s="131" t="e">
        <f t="shared" si="3"/>
        <v>#N/A</v>
      </c>
    </row>
    <row r="199" spans="1:13">
      <c r="A199">
        <v>3</v>
      </c>
      <c r="B199" s="131" t="s">
        <v>31</v>
      </c>
      <c r="C199" s="131" t="s">
        <v>32</v>
      </c>
      <c r="D199" s="131" t="s">
        <v>7</v>
      </c>
      <c r="E199" s="131" t="s">
        <v>170</v>
      </c>
      <c r="F199" s="132"/>
      <c r="G199" s="131" t="s">
        <v>26</v>
      </c>
      <c r="H199" s="131" t="s">
        <v>27</v>
      </c>
      <c r="I199" s="132"/>
      <c r="J199" s="131" t="s">
        <v>558</v>
      </c>
      <c r="K199" s="131" t="str">
        <f>J199&amp;COUNTIF($J$2:J199,J199)</f>
        <v>المستقيلين_والمستبعدين3</v>
      </c>
      <c r="L199" s="131"/>
      <c r="M199" s="131" t="e">
        <f t="shared" si="3"/>
        <v>#N/A</v>
      </c>
    </row>
    <row r="200" spans="1:13">
      <c r="A200">
        <v>4</v>
      </c>
      <c r="B200" s="131" t="s">
        <v>33</v>
      </c>
      <c r="C200" s="131" t="s">
        <v>34</v>
      </c>
      <c r="D200" s="131" t="s">
        <v>7</v>
      </c>
      <c r="E200" s="131" t="s">
        <v>183</v>
      </c>
      <c r="F200" s="132"/>
      <c r="G200" s="131" t="s">
        <v>35</v>
      </c>
      <c r="H200" s="131" t="s">
        <v>27</v>
      </c>
      <c r="I200" s="132"/>
      <c r="J200" s="131" t="s">
        <v>558</v>
      </c>
      <c r="K200" s="131" t="str">
        <f>J200&amp;COUNTIF($J$2:J200,J200)</f>
        <v>المستقيلين_والمستبعدين4</v>
      </c>
      <c r="L200" s="131"/>
      <c r="M200" s="131" t="e">
        <f t="shared" si="3"/>
        <v>#N/A</v>
      </c>
    </row>
    <row r="201" spans="1:13">
      <c r="A201">
        <v>5</v>
      </c>
      <c r="B201" s="131" t="s">
        <v>37</v>
      </c>
      <c r="C201" s="131" t="s">
        <v>38</v>
      </c>
      <c r="D201" s="131" t="s">
        <v>7</v>
      </c>
      <c r="E201" s="131" t="s">
        <v>213</v>
      </c>
      <c r="F201" s="132"/>
      <c r="G201" s="131" t="s">
        <v>26</v>
      </c>
      <c r="H201" s="131" t="s">
        <v>27</v>
      </c>
      <c r="I201" s="132"/>
      <c r="J201" s="131" t="s">
        <v>558</v>
      </c>
      <c r="K201" s="131" t="str">
        <f>J201&amp;COUNTIF($J$2:J201,J201)</f>
        <v>المستقيلين_والمستبعدين5</v>
      </c>
      <c r="L201" s="131"/>
      <c r="M201" s="131" t="e">
        <f t="shared" si="3"/>
        <v>#N/A</v>
      </c>
    </row>
    <row r="202" spans="1:13">
      <c r="A202">
        <v>6</v>
      </c>
      <c r="B202" s="131" t="s">
        <v>39</v>
      </c>
      <c r="C202" s="131" t="s">
        <v>40</v>
      </c>
      <c r="D202" s="131" t="s">
        <v>7</v>
      </c>
      <c r="E202" s="131" t="s">
        <v>559</v>
      </c>
      <c r="F202" s="132"/>
      <c r="G202" s="131" t="s">
        <v>35</v>
      </c>
      <c r="H202" s="131" t="s">
        <v>8</v>
      </c>
      <c r="I202" s="132"/>
      <c r="J202" s="131" t="s">
        <v>558</v>
      </c>
      <c r="K202" s="131" t="str">
        <f>J202&amp;COUNTIF($J$2:J202,J202)</f>
        <v>المستقيلين_والمستبعدين6</v>
      </c>
      <c r="L202" s="131"/>
      <c r="M202" s="131" t="e">
        <f t="shared" si="3"/>
        <v>#N/A</v>
      </c>
    </row>
    <row r="203" spans="1:13">
      <c r="A203">
        <v>7</v>
      </c>
      <c r="B203" s="131" t="s">
        <v>41</v>
      </c>
      <c r="C203" s="131" t="s">
        <v>42</v>
      </c>
      <c r="D203" s="131" t="s">
        <v>7</v>
      </c>
      <c r="E203" s="131" t="s">
        <v>170</v>
      </c>
      <c r="F203" s="132"/>
      <c r="G203" s="131" t="s">
        <v>26</v>
      </c>
      <c r="H203" s="131" t="s">
        <v>27</v>
      </c>
      <c r="I203" s="132"/>
      <c r="J203" s="131" t="s">
        <v>558</v>
      </c>
      <c r="K203" s="131" t="str">
        <f>J203&amp;COUNTIF($J$2:J203,J203)</f>
        <v>المستقيلين_والمستبعدين7</v>
      </c>
      <c r="L203" s="131"/>
      <c r="M203" s="131" t="e">
        <f t="shared" si="3"/>
        <v>#N/A</v>
      </c>
    </row>
    <row r="204" spans="1:13">
      <c r="A204">
        <v>8</v>
      </c>
      <c r="B204" s="131" t="s">
        <v>43</v>
      </c>
      <c r="C204" s="131" t="s">
        <v>44</v>
      </c>
      <c r="D204" s="131" t="s">
        <v>7</v>
      </c>
      <c r="E204" s="131" t="s">
        <v>170</v>
      </c>
      <c r="F204" s="132"/>
      <c r="G204" s="131" t="s">
        <v>26</v>
      </c>
      <c r="H204" s="131" t="s">
        <v>27</v>
      </c>
      <c r="I204" s="132"/>
      <c r="J204" s="131" t="s">
        <v>558</v>
      </c>
      <c r="K204" s="131" t="str">
        <f>J204&amp;COUNTIF($J$2:J204,J204)</f>
        <v>المستقيلين_والمستبعدين8</v>
      </c>
      <c r="L204" s="131"/>
      <c r="M204" s="131" t="e">
        <f t="shared" si="3"/>
        <v>#N/A</v>
      </c>
    </row>
    <row r="205" spans="1:13">
      <c r="A205">
        <v>9</v>
      </c>
      <c r="B205" s="131" t="s">
        <v>45</v>
      </c>
      <c r="C205" s="131" t="s">
        <v>46</v>
      </c>
      <c r="D205" s="131" t="s">
        <v>7</v>
      </c>
      <c r="E205" s="131" t="s">
        <v>213</v>
      </c>
      <c r="F205" s="132"/>
      <c r="G205" s="131" t="s">
        <v>26</v>
      </c>
      <c r="H205" s="131" t="s">
        <v>27</v>
      </c>
      <c r="I205" s="132"/>
      <c r="J205" s="131" t="s">
        <v>558</v>
      </c>
      <c r="K205" s="131" t="str">
        <f>J205&amp;COUNTIF($J$2:J205,J205)</f>
        <v>المستقيلين_والمستبعدين9</v>
      </c>
      <c r="L205" s="131"/>
      <c r="M205" s="131" t="e">
        <f t="shared" si="3"/>
        <v>#N/A</v>
      </c>
    </row>
    <row r="206" spans="1:13">
      <c r="A206">
        <v>10</v>
      </c>
      <c r="B206" s="131" t="s">
        <v>49</v>
      </c>
      <c r="C206" s="131" t="s">
        <v>50</v>
      </c>
      <c r="D206" s="131" t="s">
        <v>7</v>
      </c>
      <c r="E206" s="131" t="s">
        <v>183</v>
      </c>
      <c r="F206" s="132"/>
      <c r="G206" s="131" t="s">
        <v>26</v>
      </c>
      <c r="H206" s="131" t="s">
        <v>27</v>
      </c>
      <c r="I206" s="132"/>
      <c r="J206" s="131" t="s">
        <v>558</v>
      </c>
      <c r="K206" s="131" t="str">
        <f>J206&amp;COUNTIF($J$2:J206,J206)</f>
        <v>المستقيلين_والمستبعدين10</v>
      </c>
      <c r="L206" s="131"/>
      <c r="M206" s="131" t="e">
        <f t="shared" si="3"/>
        <v>#N/A</v>
      </c>
    </row>
    <row r="207" spans="1:13">
      <c r="A207">
        <v>11</v>
      </c>
      <c r="B207" s="131" t="s">
        <v>51</v>
      </c>
      <c r="C207" s="131" t="s">
        <v>52</v>
      </c>
      <c r="D207" s="131" t="s">
        <v>7</v>
      </c>
      <c r="E207" s="131" t="s">
        <v>213</v>
      </c>
      <c r="F207" s="132"/>
      <c r="G207" s="131" t="s">
        <v>26</v>
      </c>
      <c r="H207" s="131" t="s">
        <v>8</v>
      </c>
      <c r="I207" s="132"/>
      <c r="J207" s="131" t="s">
        <v>558</v>
      </c>
      <c r="K207" s="131" t="str">
        <f>J207&amp;COUNTIF($J$2:J207,J207)</f>
        <v>المستقيلين_والمستبعدين11</v>
      </c>
      <c r="L207" s="131"/>
      <c r="M207" s="131" t="e">
        <f t="shared" si="3"/>
        <v>#N/A</v>
      </c>
    </row>
    <row r="208" spans="1:13">
      <c r="A208">
        <v>12</v>
      </c>
      <c r="B208" s="131" t="s">
        <v>53</v>
      </c>
      <c r="C208" s="131" t="s">
        <v>54</v>
      </c>
      <c r="D208" s="131" t="s">
        <v>7</v>
      </c>
      <c r="E208" s="131" t="s">
        <v>170</v>
      </c>
      <c r="F208" s="132"/>
      <c r="G208" s="131" t="s">
        <v>35</v>
      </c>
      <c r="H208" s="131" t="s">
        <v>8</v>
      </c>
      <c r="I208" s="132"/>
      <c r="J208" s="131" t="s">
        <v>558</v>
      </c>
      <c r="K208" s="131" t="str">
        <f>J208&amp;COUNTIF($J$2:J208,J208)</f>
        <v>المستقيلين_والمستبعدين12</v>
      </c>
      <c r="L208" s="131"/>
      <c r="M208" s="131" t="e">
        <f t="shared" si="3"/>
        <v>#N/A</v>
      </c>
    </row>
    <row r="209" spans="1:13">
      <c r="A209">
        <v>13</v>
      </c>
      <c r="B209" s="131" t="s">
        <v>55</v>
      </c>
      <c r="C209" s="131" t="s">
        <v>56</v>
      </c>
      <c r="D209" s="131" t="s">
        <v>7</v>
      </c>
      <c r="E209" s="131" t="s">
        <v>241</v>
      </c>
      <c r="F209" s="132"/>
      <c r="G209" s="131" t="s">
        <v>35</v>
      </c>
      <c r="H209" s="131" t="s">
        <v>27</v>
      </c>
      <c r="I209" s="132"/>
      <c r="J209" s="131" t="s">
        <v>558</v>
      </c>
      <c r="K209" s="131" t="str">
        <f>J209&amp;COUNTIF($J$2:J209,J209)</f>
        <v>المستقيلين_والمستبعدين13</v>
      </c>
      <c r="L209" s="131"/>
      <c r="M209" s="131" t="e">
        <f t="shared" si="3"/>
        <v>#N/A</v>
      </c>
    </row>
    <row r="210" spans="1:13">
      <c r="A210">
        <v>14</v>
      </c>
      <c r="B210" s="131" t="s">
        <v>45</v>
      </c>
      <c r="C210" s="131" t="s">
        <v>46</v>
      </c>
      <c r="D210" s="131" t="s">
        <v>7</v>
      </c>
      <c r="E210" s="131" t="s">
        <v>213</v>
      </c>
      <c r="F210" s="132"/>
      <c r="G210" s="131" t="s">
        <v>26</v>
      </c>
      <c r="H210" s="131" t="s">
        <v>27</v>
      </c>
      <c r="I210" s="132"/>
      <c r="J210" s="131" t="s">
        <v>558</v>
      </c>
      <c r="K210" s="131" t="str">
        <f>J210&amp;COUNTIF($J$2:J210,J210)</f>
        <v>المستقيلين_والمستبعدين14</v>
      </c>
      <c r="L210" s="131"/>
      <c r="M210" s="131" t="e">
        <f t="shared" si="3"/>
        <v>#N/A</v>
      </c>
    </row>
    <row r="211" spans="1:13">
      <c r="A211">
        <v>15</v>
      </c>
      <c r="B211" s="131" t="s">
        <v>57</v>
      </c>
      <c r="C211" s="131" t="s">
        <v>58</v>
      </c>
      <c r="D211" s="131" t="s">
        <v>7</v>
      </c>
      <c r="E211" s="131" t="s">
        <v>200</v>
      </c>
      <c r="F211" s="132"/>
      <c r="G211" s="131" t="s">
        <v>26</v>
      </c>
      <c r="H211" s="131" t="s">
        <v>27</v>
      </c>
      <c r="I211" s="132"/>
      <c r="J211" s="131" t="s">
        <v>558</v>
      </c>
      <c r="K211" s="131" t="str">
        <f>J211&amp;COUNTIF($J$2:J211,J211)</f>
        <v>المستقيلين_والمستبعدين15</v>
      </c>
      <c r="L211" s="131"/>
      <c r="M211" s="131" t="e">
        <f t="shared" si="3"/>
        <v>#N/A</v>
      </c>
    </row>
    <row r="212" spans="1:13">
      <c r="A212">
        <v>16</v>
      </c>
      <c r="B212" s="131" t="s">
        <v>59</v>
      </c>
      <c r="C212" s="131" t="s">
        <v>60</v>
      </c>
      <c r="D212" s="131" t="s">
        <v>7</v>
      </c>
      <c r="E212" s="131" t="s">
        <v>170</v>
      </c>
      <c r="F212" s="132"/>
      <c r="G212" s="131" t="s">
        <v>26</v>
      </c>
      <c r="H212" s="131" t="s">
        <v>27</v>
      </c>
      <c r="I212" s="132"/>
      <c r="J212" s="131" t="s">
        <v>558</v>
      </c>
      <c r="K212" s="131" t="str">
        <f>J212&amp;COUNTIF($J$2:J212,J212)</f>
        <v>المستقيلين_والمستبعدين16</v>
      </c>
      <c r="L212" s="131"/>
      <c r="M212" s="131" t="e">
        <f t="shared" si="3"/>
        <v>#N/A</v>
      </c>
    </row>
    <row r="213" spans="1:13">
      <c r="A213">
        <v>17</v>
      </c>
      <c r="B213" s="131" t="s">
        <v>61</v>
      </c>
      <c r="C213" s="131" t="s">
        <v>62</v>
      </c>
      <c r="D213" s="131" t="s">
        <v>7</v>
      </c>
      <c r="E213" s="131" t="s">
        <v>241</v>
      </c>
      <c r="F213" s="132"/>
      <c r="G213" s="131" t="s">
        <v>26</v>
      </c>
      <c r="H213" s="131" t="s">
        <v>8</v>
      </c>
      <c r="I213" s="132"/>
      <c r="J213" s="131" t="s">
        <v>558</v>
      </c>
      <c r="K213" s="131" t="str">
        <f>J213&amp;COUNTIF($J$2:J213,J213)</f>
        <v>المستقيلين_والمستبعدين17</v>
      </c>
      <c r="L213" s="131"/>
      <c r="M213" s="131" t="e">
        <f t="shared" si="3"/>
        <v>#N/A</v>
      </c>
    </row>
    <row r="214" spans="1:13">
      <c r="A214">
        <v>18</v>
      </c>
      <c r="B214" s="131" t="s">
        <v>63</v>
      </c>
      <c r="C214" s="131" t="s">
        <v>64</v>
      </c>
      <c r="D214" s="131" t="s">
        <v>7</v>
      </c>
      <c r="E214" s="131" t="s">
        <v>266</v>
      </c>
      <c r="F214" s="132"/>
      <c r="G214" s="131" t="s">
        <v>26</v>
      </c>
      <c r="H214" s="131" t="s">
        <v>27</v>
      </c>
      <c r="I214" s="132"/>
      <c r="J214" s="131" t="s">
        <v>558</v>
      </c>
      <c r="K214" s="131" t="str">
        <f>J214&amp;COUNTIF($J$2:J214,J214)</f>
        <v>المستقيلين_والمستبعدين18</v>
      </c>
      <c r="L214" s="131"/>
      <c r="M214" s="131" t="e">
        <f t="shared" si="3"/>
        <v>#N/A</v>
      </c>
    </row>
    <row r="215" spans="1:13">
      <c r="A215">
        <v>19</v>
      </c>
      <c r="B215" s="131" t="s">
        <v>66</v>
      </c>
      <c r="C215" s="131" t="s">
        <v>67</v>
      </c>
      <c r="D215" s="131" t="s">
        <v>7</v>
      </c>
      <c r="E215" s="131" t="s">
        <v>266</v>
      </c>
      <c r="F215" s="132"/>
      <c r="G215" s="131" t="s">
        <v>26</v>
      </c>
      <c r="H215" s="131" t="s">
        <v>27</v>
      </c>
      <c r="I215" s="132"/>
      <c r="J215" s="131" t="s">
        <v>558</v>
      </c>
      <c r="K215" s="131" t="str">
        <f>J215&amp;COUNTIF($J$2:J215,J215)</f>
        <v>المستقيلين_والمستبعدين19</v>
      </c>
      <c r="L215" s="131"/>
      <c r="M215" s="131" t="e">
        <f t="shared" si="3"/>
        <v>#N/A</v>
      </c>
    </row>
    <row r="216" spans="1:13">
      <c r="A216">
        <v>20</v>
      </c>
      <c r="B216" s="131" t="s">
        <v>69</v>
      </c>
      <c r="C216" s="131" t="s">
        <v>70</v>
      </c>
      <c r="D216" s="131" t="s">
        <v>7</v>
      </c>
      <c r="E216" s="131" t="s">
        <v>200</v>
      </c>
      <c r="F216" s="132"/>
      <c r="G216" s="131" t="s">
        <v>26</v>
      </c>
      <c r="H216" s="131" t="s">
        <v>27</v>
      </c>
      <c r="I216" s="132"/>
      <c r="J216" s="131" t="s">
        <v>558</v>
      </c>
      <c r="K216" s="131" t="str">
        <f>J216&amp;COUNTIF($J$2:J216,J216)</f>
        <v>المستقيلين_والمستبعدين20</v>
      </c>
      <c r="L216" s="131"/>
      <c r="M216" s="131" t="e">
        <f t="shared" si="3"/>
        <v>#N/A</v>
      </c>
    </row>
    <row r="217" spans="1:13">
      <c r="A217">
        <v>21</v>
      </c>
      <c r="B217" s="131" t="s">
        <v>71</v>
      </c>
      <c r="C217" s="131" t="s">
        <v>72</v>
      </c>
      <c r="D217" s="131" t="s">
        <v>7</v>
      </c>
      <c r="E217" s="131" t="s">
        <v>266</v>
      </c>
      <c r="F217" s="132"/>
      <c r="G217" s="131" t="s">
        <v>26</v>
      </c>
      <c r="H217" s="131" t="s">
        <v>27</v>
      </c>
      <c r="I217" s="132"/>
      <c r="J217" s="131" t="s">
        <v>558</v>
      </c>
      <c r="K217" s="131" t="str">
        <f>J217&amp;COUNTIF($J$2:J217,J217)</f>
        <v>المستقيلين_والمستبعدين21</v>
      </c>
      <c r="L217" s="131"/>
      <c r="M217" s="131" t="e">
        <f t="shared" si="3"/>
        <v>#N/A</v>
      </c>
    </row>
    <row r="218" spans="1:13">
      <c r="A218">
        <v>22</v>
      </c>
      <c r="B218" s="131" t="s">
        <v>73</v>
      </c>
      <c r="C218" s="131" t="s">
        <v>74</v>
      </c>
      <c r="D218" s="131" t="s">
        <v>7</v>
      </c>
      <c r="E218" s="131" t="s">
        <v>213</v>
      </c>
      <c r="F218" s="132"/>
      <c r="G218" s="131" t="s">
        <v>26</v>
      </c>
      <c r="H218" s="131" t="s">
        <v>27</v>
      </c>
      <c r="I218" s="132"/>
      <c r="J218" s="131" t="s">
        <v>558</v>
      </c>
      <c r="K218" s="131" t="str">
        <f>J218&amp;COUNTIF($J$2:J218,J218)</f>
        <v>المستقيلين_والمستبعدين22</v>
      </c>
      <c r="L218" s="131"/>
      <c r="M218" s="131" t="e">
        <f t="shared" si="3"/>
        <v>#N/A</v>
      </c>
    </row>
    <row r="219" spans="1:13">
      <c r="A219">
        <v>23</v>
      </c>
      <c r="B219" s="131" t="s">
        <v>75</v>
      </c>
      <c r="C219" s="131" t="s">
        <v>76</v>
      </c>
      <c r="D219" s="131" t="s">
        <v>7</v>
      </c>
      <c r="E219" s="131" t="s">
        <v>241</v>
      </c>
      <c r="F219" s="132"/>
      <c r="G219" s="131" t="s">
        <v>26</v>
      </c>
      <c r="H219" s="131" t="s">
        <v>27</v>
      </c>
      <c r="I219" s="132"/>
      <c r="J219" s="131" t="s">
        <v>558</v>
      </c>
      <c r="K219" s="131" t="str">
        <f>J219&amp;COUNTIF($J$2:J219,J219)</f>
        <v>المستقيلين_والمستبعدين23</v>
      </c>
      <c r="L219" s="131"/>
      <c r="M219" s="131" t="e">
        <f t="shared" si="3"/>
        <v>#N/A</v>
      </c>
    </row>
    <row r="220" spans="1:13">
      <c r="A220">
        <v>24</v>
      </c>
      <c r="B220" s="131" t="s">
        <v>77</v>
      </c>
      <c r="C220" s="131" t="s">
        <v>78</v>
      </c>
      <c r="D220" s="131" t="s">
        <v>7</v>
      </c>
      <c r="E220" s="131" t="s">
        <v>200</v>
      </c>
      <c r="F220" s="132"/>
      <c r="G220" s="131" t="s">
        <v>26</v>
      </c>
      <c r="H220" s="131" t="s">
        <v>27</v>
      </c>
      <c r="I220" s="132"/>
      <c r="J220" s="131" t="s">
        <v>558</v>
      </c>
      <c r="K220" s="131" t="str">
        <f>J220&amp;COUNTIF($J$2:J220,J220)</f>
        <v>المستقيلين_والمستبعدين24</v>
      </c>
      <c r="L220" s="131"/>
      <c r="M220" s="131" t="e">
        <f t="shared" si="3"/>
        <v>#N/A</v>
      </c>
    </row>
    <row r="221" spans="1:13">
      <c r="A221">
        <v>25</v>
      </c>
      <c r="B221" s="131" t="s">
        <v>79</v>
      </c>
      <c r="C221" s="131" t="s">
        <v>80</v>
      </c>
      <c r="D221" s="131" t="s">
        <v>7</v>
      </c>
      <c r="E221" s="131" t="s">
        <v>213</v>
      </c>
      <c r="F221" s="132"/>
      <c r="G221" s="131" t="s">
        <v>26</v>
      </c>
      <c r="H221" s="131" t="s">
        <v>27</v>
      </c>
      <c r="I221" s="132"/>
      <c r="J221" s="131" t="s">
        <v>558</v>
      </c>
      <c r="K221" s="131" t="str">
        <f>J221&amp;COUNTIF($J$2:J221,J221)</f>
        <v>المستقيلين_والمستبعدين25</v>
      </c>
      <c r="L221" s="131"/>
      <c r="M221" s="131" t="e">
        <f t="shared" si="3"/>
        <v>#N/A</v>
      </c>
    </row>
    <row r="222" spans="1:13">
      <c r="A222">
        <v>26</v>
      </c>
      <c r="B222" s="131" t="s">
        <v>81</v>
      </c>
      <c r="C222" s="131" t="s">
        <v>82</v>
      </c>
      <c r="D222" s="131" t="s">
        <v>7</v>
      </c>
      <c r="E222" s="131" t="s">
        <v>200</v>
      </c>
      <c r="F222" s="132"/>
      <c r="G222" s="131" t="s">
        <v>26</v>
      </c>
      <c r="H222" s="131" t="s">
        <v>8</v>
      </c>
      <c r="I222" s="132"/>
      <c r="J222" s="131" t="s">
        <v>558</v>
      </c>
      <c r="K222" s="131" t="str">
        <f>J222&amp;COUNTIF($J$2:J222,J222)</f>
        <v>المستقيلين_والمستبعدين26</v>
      </c>
      <c r="L222" s="131"/>
      <c r="M222" s="131" t="e">
        <f t="shared" si="3"/>
        <v>#N/A</v>
      </c>
    </row>
    <row r="223" spans="1:13">
      <c r="A223">
        <v>27</v>
      </c>
      <c r="B223" s="131" t="s">
        <v>83</v>
      </c>
      <c r="C223" s="131" t="s">
        <v>84</v>
      </c>
      <c r="D223" s="131" t="s">
        <v>7</v>
      </c>
      <c r="E223" s="131" t="s">
        <v>560</v>
      </c>
      <c r="F223" s="132"/>
      <c r="G223" s="131" t="s">
        <v>26</v>
      </c>
      <c r="H223" s="131" t="s">
        <v>27</v>
      </c>
      <c r="I223" s="132"/>
      <c r="J223" s="131" t="s">
        <v>558</v>
      </c>
      <c r="K223" s="131" t="str">
        <f>J223&amp;COUNTIF($J$2:J223,J223)</f>
        <v>المستقيلين_والمستبعدين27</v>
      </c>
      <c r="L223" s="131"/>
      <c r="M223" s="131" t="e">
        <f t="shared" si="3"/>
        <v>#N/A</v>
      </c>
    </row>
    <row r="224" spans="1:13">
      <c r="A224">
        <v>28</v>
      </c>
      <c r="B224" s="131" t="s">
        <v>85</v>
      </c>
      <c r="C224" s="131" t="s">
        <v>86</v>
      </c>
      <c r="D224" s="131" t="s">
        <v>7</v>
      </c>
      <c r="E224" s="131" t="s">
        <v>241</v>
      </c>
      <c r="F224" s="132"/>
      <c r="G224" s="131" t="s">
        <v>26</v>
      </c>
      <c r="H224" s="131" t="s">
        <v>27</v>
      </c>
      <c r="I224" s="132"/>
      <c r="J224" s="131" t="s">
        <v>558</v>
      </c>
      <c r="K224" s="131" t="str">
        <f>J224&amp;COUNTIF($J$2:J224,J224)</f>
        <v>المستقيلين_والمستبعدين28</v>
      </c>
      <c r="L224" s="131"/>
      <c r="M224" s="131" t="e">
        <f t="shared" si="3"/>
        <v>#N/A</v>
      </c>
    </row>
    <row r="225" spans="1:13">
      <c r="A225">
        <v>29</v>
      </c>
      <c r="B225" s="131" t="s">
        <v>88</v>
      </c>
      <c r="C225" s="131" t="s">
        <v>89</v>
      </c>
      <c r="D225" s="131" t="s">
        <v>7</v>
      </c>
      <c r="E225" s="131" t="s">
        <v>266</v>
      </c>
      <c r="F225" s="132"/>
      <c r="G225" s="131" t="s">
        <v>26</v>
      </c>
      <c r="H225" s="131" t="s">
        <v>27</v>
      </c>
      <c r="I225" s="132"/>
      <c r="J225" s="131" t="s">
        <v>558</v>
      </c>
      <c r="K225" s="131" t="str">
        <f>J225&amp;COUNTIF($J$2:J225,J225)</f>
        <v>المستقيلين_والمستبعدين29</v>
      </c>
      <c r="L225" s="131"/>
      <c r="M225" s="131" t="e">
        <f t="shared" si="3"/>
        <v>#N/A</v>
      </c>
    </row>
    <row r="226" spans="1:13">
      <c r="A226">
        <v>30</v>
      </c>
      <c r="B226" s="131" t="s">
        <v>90</v>
      </c>
      <c r="C226" s="131" t="s">
        <v>91</v>
      </c>
      <c r="D226" s="131" t="s">
        <v>7</v>
      </c>
      <c r="E226" s="131" t="s">
        <v>47</v>
      </c>
      <c r="F226" s="132"/>
      <c r="G226" s="131" t="s">
        <v>26</v>
      </c>
      <c r="H226" s="131" t="s">
        <v>8</v>
      </c>
      <c r="I226" s="132"/>
      <c r="J226" s="131" t="s">
        <v>558</v>
      </c>
      <c r="K226" s="131" t="str">
        <f>J226&amp;COUNTIF($J$2:J226,J226)</f>
        <v>المستقيلين_والمستبعدين30</v>
      </c>
      <c r="L226" s="131"/>
      <c r="M226" s="131" t="e">
        <f t="shared" si="3"/>
        <v>#N/A</v>
      </c>
    </row>
    <row r="227" spans="1:13">
      <c r="A227">
        <v>31</v>
      </c>
      <c r="B227" s="131" t="s">
        <v>92</v>
      </c>
      <c r="C227" s="131" t="s">
        <v>93</v>
      </c>
      <c r="D227" s="131" t="s">
        <v>7</v>
      </c>
      <c r="E227" s="131" t="s">
        <v>561</v>
      </c>
      <c r="F227" s="132"/>
      <c r="G227" s="131" t="s">
        <v>26</v>
      </c>
      <c r="H227" s="131" t="s">
        <v>8</v>
      </c>
      <c r="I227" s="132"/>
      <c r="J227" s="131" t="s">
        <v>558</v>
      </c>
      <c r="K227" s="131" t="str">
        <f>J227&amp;COUNTIF($J$2:J227,J227)</f>
        <v>المستقيلين_والمستبعدين31</v>
      </c>
      <c r="L227" s="131"/>
      <c r="M227" s="131" t="e">
        <f t="shared" si="3"/>
        <v>#N/A</v>
      </c>
    </row>
    <row r="228" spans="1:13">
      <c r="A228">
        <v>32</v>
      </c>
      <c r="B228" s="131" t="s">
        <v>94</v>
      </c>
      <c r="C228" s="131" t="s">
        <v>95</v>
      </c>
      <c r="D228" s="131" t="s">
        <v>7</v>
      </c>
      <c r="E228" s="131" t="s">
        <v>183</v>
      </c>
      <c r="F228" s="132"/>
      <c r="G228" s="131" t="s">
        <v>26</v>
      </c>
      <c r="H228" s="131" t="s">
        <v>8</v>
      </c>
      <c r="I228" s="132"/>
      <c r="J228" s="131" t="s">
        <v>558</v>
      </c>
      <c r="K228" s="131" t="str">
        <f>J228&amp;COUNTIF($J$2:J228,J228)</f>
        <v>المستقيلين_والمستبعدين32</v>
      </c>
      <c r="L228" s="131"/>
      <c r="M228" s="131" t="e">
        <f t="shared" si="3"/>
        <v>#N/A</v>
      </c>
    </row>
    <row r="229" spans="1:13">
      <c r="A229">
        <v>33</v>
      </c>
      <c r="B229" s="131" t="s">
        <v>96</v>
      </c>
      <c r="C229" s="131" t="s">
        <v>97</v>
      </c>
      <c r="D229" s="131" t="s">
        <v>7</v>
      </c>
      <c r="E229" s="131" t="s">
        <v>170</v>
      </c>
      <c r="F229" s="132"/>
      <c r="G229" s="131" t="s">
        <v>26</v>
      </c>
      <c r="H229" s="131" t="s">
        <v>27</v>
      </c>
      <c r="I229" s="132"/>
      <c r="J229" s="131" t="s">
        <v>558</v>
      </c>
      <c r="K229" s="131" t="str">
        <f>J229&amp;COUNTIF($J$2:J229,J229)</f>
        <v>المستقيلين_والمستبعدين33</v>
      </c>
      <c r="L229" s="131"/>
      <c r="M229" s="131" t="e">
        <f t="shared" si="3"/>
        <v>#N/A</v>
      </c>
    </row>
    <row r="230" spans="1:13">
      <c r="A230">
        <v>34</v>
      </c>
      <c r="B230" s="131" t="s">
        <v>98</v>
      </c>
      <c r="C230" s="131" t="s">
        <v>99</v>
      </c>
      <c r="D230" s="131" t="s">
        <v>7</v>
      </c>
      <c r="E230" s="131" t="s">
        <v>562</v>
      </c>
      <c r="F230" s="132"/>
      <c r="G230" s="131" t="s">
        <v>26</v>
      </c>
      <c r="H230" s="131" t="s">
        <v>27</v>
      </c>
      <c r="I230" s="132"/>
      <c r="J230" s="131" t="s">
        <v>558</v>
      </c>
      <c r="K230" s="131" t="str">
        <f>J230&amp;COUNTIF($J$2:J230,J230)</f>
        <v>المستقيلين_والمستبعدين34</v>
      </c>
      <c r="L230" s="131"/>
      <c r="M230" s="131" t="e">
        <f t="shared" si="3"/>
        <v>#N/A</v>
      </c>
    </row>
    <row r="231" spans="1:13">
      <c r="A231">
        <v>35</v>
      </c>
      <c r="B231" s="131" t="s">
        <v>100</v>
      </c>
      <c r="C231" s="131" t="s">
        <v>101</v>
      </c>
      <c r="D231" s="131" t="s">
        <v>7</v>
      </c>
      <c r="E231" s="131" t="s">
        <v>200</v>
      </c>
      <c r="F231" s="132"/>
      <c r="G231" s="131" t="s">
        <v>26</v>
      </c>
      <c r="H231" s="131" t="s">
        <v>8</v>
      </c>
      <c r="I231" s="132"/>
      <c r="J231" s="131" t="s">
        <v>558</v>
      </c>
      <c r="K231" s="131" t="str">
        <f>J231&amp;COUNTIF($J$2:J231,J231)</f>
        <v>المستقيلين_والمستبعدين35</v>
      </c>
      <c r="L231" s="131"/>
      <c r="M231" s="131" t="e">
        <f t="shared" si="3"/>
        <v>#N/A</v>
      </c>
    </row>
    <row r="232" spans="1:13">
      <c r="A232">
        <v>36</v>
      </c>
      <c r="B232" s="131" t="s">
        <v>75</v>
      </c>
      <c r="C232" s="131" t="s">
        <v>76</v>
      </c>
      <c r="D232" s="131" t="s">
        <v>7</v>
      </c>
      <c r="E232" s="131" t="s">
        <v>241</v>
      </c>
      <c r="F232" s="132"/>
      <c r="G232" s="131" t="s">
        <v>26</v>
      </c>
      <c r="H232" s="131" t="s">
        <v>27</v>
      </c>
      <c r="I232" s="132"/>
      <c r="J232" s="131" t="s">
        <v>558</v>
      </c>
      <c r="K232" s="131" t="str">
        <f>J232&amp;COUNTIF($J$2:J232,J232)</f>
        <v>المستقيلين_والمستبعدين36</v>
      </c>
      <c r="L232" s="131"/>
      <c r="M232" s="131" t="e">
        <f t="shared" si="3"/>
        <v>#N/A</v>
      </c>
    </row>
    <row r="233" spans="1:13">
      <c r="A233">
        <v>37</v>
      </c>
      <c r="B233" s="131" t="s">
        <v>102</v>
      </c>
      <c r="C233" s="131" t="s">
        <v>103</v>
      </c>
      <c r="D233" s="131" t="s">
        <v>7</v>
      </c>
      <c r="E233" s="131" t="s">
        <v>241</v>
      </c>
      <c r="F233" s="132"/>
      <c r="G233" s="131" t="s">
        <v>26</v>
      </c>
      <c r="H233" s="131" t="s">
        <v>8</v>
      </c>
      <c r="I233" s="132"/>
      <c r="J233" s="131" t="s">
        <v>558</v>
      </c>
      <c r="K233" s="131" t="str">
        <f>J233&amp;COUNTIF($J$2:J233,J233)</f>
        <v>المستقيلين_والمستبعدين37</v>
      </c>
      <c r="L233" s="131"/>
      <c r="M233" s="131" t="e">
        <f t="shared" si="3"/>
        <v>#N/A</v>
      </c>
    </row>
    <row r="234" spans="1:13">
      <c r="A234">
        <v>38</v>
      </c>
      <c r="B234" s="131" t="s">
        <v>104</v>
      </c>
      <c r="C234" s="131" t="s">
        <v>105</v>
      </c>
      <c r="D234" s="131" t="s">
        <v>7</v>
      </c>
      <c r="E234" s="131" t="s">
        <v>292</v>
      </c>
      <c r="F234" s="132"/>
      <c r="G234" s="131" t="s">
        <v>26</v>
      </c>
      <c r="H234" s="131" t="s">
        <v>27</v>
      </c>
      <c r="I234" s="132"/>
      <c r="J234" s="131" t="s">
        <v>558</v>
      </c>
      <c r="K234" s="131" t="str">
        <f>J234&amp;COUNTIF($J$2:J234,J234)</f>
        <v>المستقيلين_والمستبعدين38</v>
      </c>
      <c r="L234" s="131"/>
      <c r="M234" s="131" t="e">
        <f t="shared" si="3"/>
        <v>#N/A</v>
      </c>
    </row>
    <row r="235" spans="1:13">
      <c r="A235">
        <v>39</v>
      </c>
      <c r="B235" s="131" t="s">
        <v>106</v>
      </c>
      <c r="C235" s="131" t="s">
        <v>107</v>
      </c>
      <c r="D235" s="131" t="s">
        <v>7</v>
      </c>
      <c r="E235" s="131" t="s">
        <v>561</v>
      </c>
      <c r="F235" s="132"/>
      <c r="G235" s="131" t="s">
        <v>26</v>
      </c>
      <c r="H235" s="131" t="s">
        <v>8</v>
      </c>
      <c r="I235" s="132"/>
      <c r="J235" s="131" t="s">
        <v>558</v>
      </c>
      <c r="K235" s="131" t="str">
        <f>J235&amp;COUNTIF($J$2:J235,J235)</f>
        <v>المستقيلين_والمستبعدين39</v>
      </c>
      <c r="L235" s="131"/>
      <c r="M235" s="131" t="e">
        <f t="shared" si="3"/>
        <v>#N/A</v>
      </c>
    </row>
    <row r="236" spans="1:13">
      <c r="A236">
        <v>40</v>
      </c>
      <c r="B236" s="131" t="s">
        <v>108</v>
      </c>
      <c r="C236" s="131" t="s">
        <v>109</v>
      </c>
      <c r="D236" s="131" t="s">
        <v>7</v>
      </c>
      <c r="E236" s="131" t="s">
        <v>266</v>
      </c>
      <c r="F236" s="132"/>
      <c r="G236" s="131" t="s">
        <v>26</v>
      </c>
      <c r="H236" s="131" t="s">
        <v>27</v>
      </c>
      <c r="I236" s="132"/>
      <c r="J236" s="131" t="s">
        <v>558</v>
      </c>
      <c r="K236" s="131" t="str">
        <f>J236&amp;COUNTIF($J$2:J236,J236)</f>
        <v>المستقيلين_والمستبعدين40</v>
      </c>
      <c r="L236" s="131"/>
      <c r="M236" s="131" t="e">
        <f t="shared" si="3"/>
        <v>#N/A</v>
      </c>
    </row>
    <row r="237" spans="1:13">
      <c r="A237">
        <v>41</v>
      </c>
      <c r="B237" s="131" t="s">
        <v>110</v>
      </c>
      <c r="C237" s="131" t="s">
        <v>111</v>
      </c>
      <c r="D237" s="131" t="s">
        <v>7</v>
      </c>
      <c r="E237" s="131" t="s">
        <v>563</v>
      </c>
      <c r="F237" s="132"/>
      <c r="G237" s="131" t="s">
        <v>26</v>
      </c>
      <c r="H237" s="131" t="s">
        <v>27</v>
      </c>
      <c r="I237" s="132"/>
      <c r="J237" s="131" t="s">
        <v>558</v>
      </c>
      <c r="K237" s="131" t="str">
        <f>J237&amp;COUNTIF($J$2:J237,J237)</f>
        <v>المستقيلين_والمستبعدين41</v>
      </c>
      <c r="L237" s="131"/>
      <c r="M237" s="131" t="e">
        <f t="shared" si="3"/>
        <v>#N/A</v>
      </c>
    </row>
    <row r="238" spans="1:13">
      <c r="A238">
        <v>42</v>
      </c>
      <c r="B238" s="131" t="s">
        <v>112</v>
      </c>
      <c r="C238" s="131" t="s">
        <v>113</v>
      </c>
      <c r="D238" s="131" t="s">
        <v>7</v>
      </c>
      <c r="E238" s="131" t="s">
        <v>564</v>
      </c>
      <c r="F238" s="132"/>
      <c r="G238" s="131" t="s">
        <v>26</v>
      </c>
      <c r="H238" s="131" t="s">
        <v>8</v>
      </c>
      <c r="I238" s="132"/>
      <c r="J238" s="131" t="s">
        <v>558</v>
      </c>
      <c r="K238" s="131" t="str">
        <f>J238&amp;COUNTIF($J$2:J238,J238)</f>
        <v>المستقيلين_والمستبعدين42</v>
      </c>
      <c r="L238" s="131"/>
      <c r="M238" s="131" t="e">
        <f t="shared" si="3"/>
        <v>#N/A</v>
      </c>
    </row>
    <row r="239" spans="1:13">
      <c r="A239">
        <v>43</v>
      </c>
      <c r="B239" s="131" t="s">
        <v>114</v>
      </c>
      <c r="C239" s="131" t="s">
        <v>115</v>
      </c>
      <c r="D239" s="131" t="s">
        <v>7</v>
      </c>
      <c r="E239" s="131" t="s">
        <v>306</v>
      </c>
      <c r="F239" s="132"/>
      <c r="G239" s="131" t="s">
        <v>35</v>
      </c>
      <c r="H239" s="131" t="s">
        <v>8</v>
      </c>
      <c r="I239" s="132"/>
      <c r="J239" s="131" t="s">
        <v>558</v>
      </c>
      <c r="K239" s="131" t="str">
        <f>J239&amp;COUNTIF($J$2:J239,J239)</f>
        <v>المستقيلين_والمستبعدين43</v>
      </c>
      <c r="L239" s="131"/>
      <c r="M239" s="131" t="e">
        <f t="shared" si="3"/>
        <v>#N/A</v>
      </c>
    </row>
    <row r="240" spans="1:13">
      <c r="A240">
        <v>44</v>
      </c>
      <c r="B240" s="131" t="s">
        <v>116</v>
      </c>
      <c r="C240" s="131" t="s">
        <v>117</v>
      </c>
      <c r="D240" s="131" t="s">
        <v>7</v>
      </c>
      <c r="E240" s="131" t="s">
        <v>337</v>
      </c>
      <c r="F240" s="132"/>
      <c r="G240" s="131" t="s">
        <v>35</v>
      </c>
      <c r="H240" s="131" t="s">
        <v>8</v>
      </c>
      <c r="I240" s="132"/>
      <c r="J240" s="131" t="s">
        <v>558</v>
      </c>
      <c r="K240" s="131" t="str">
        <f>J240&amp;COUNTIF($J$2:J240,J240)</f>
        <v>المستقيلين_والمستبعدين44</v>
      </c>
      <c r="L240" s="131"/>
      <c r="M240" s="131" t="e">
        <f t="shared" si="3"/>
        <v>#N/A</v>
      </c>
    </row>
    <row r="241" spans="1:13">
      <c r="A241">
        <v>45</v>
      </c>
      <c r="B241" s="131" t="s">
        <v>118</v>
      </c>
      <c r="C241" s="131" t="s">
        <v>119</v>
      </c>
      <c r="D241" s="131" t="s">
        <v>7</v>
      </c>
      <c r="E241" s="131" t="s">
        <v>377</v>
      </c>
      <c r="F241" s="132"/>
      <c r="G241" s="131" t="s">
        <v>26</v>
      </c>
      <c r="H241" s="131" t="s">
        <v>27</v>
      </c>
      <c r="I241" s="132"/>
      <c r="J241" s="131" t="s">
        <v>558</v>
      </c>
      <c r="K241" s="131" t="str">
        <f>J241&amp;COUNTIF($J$2:J241,J241)</f>
        <v>المستقيلين_والمستبعدين45</v>
      </c>
      <c r="L241" s="131"/>
      <c r="M241" s="131" t="e">
        <f t="shared" si="3"/>
        <v>#N/A</v>
      </c>
    </row>
    <row r="242" spans="1:13">
      <c r="A242">
        <v>46</v>
      </c>
      <c r="B242" s="131" t="s">
        <v>120</v>
      </c>
      <c r="C242" s="131" t="s">
        <v>121</v>
      </c>
      <c r="D242" s="131" t="s">
        <v>7</v>
      </c>
      <c r="E242" s="131" t="s">
        <v>401</v>
      </c>
      <c r="F242" s="132"/>
      <c r="G242" s="131" t="s">
        <v>35</v>
      </c>
      <c r="H242" s="131" t="s">
        <v>8</v>
      </c>
      <c r="I242" s="132"/>
      <c r="J242" s="131" t="s">
        <v>558</v>
      </c>
      <c r="K242" s="131" t="str">
        <f>J242&amp;COUNTIF($J$2:J242,J242)</f>
        <v>المستقيلين_والمستبعدين46</v>
      </c>
      <c r="L242" s="131"/>
      <c r="M242" s="131" t="e">
        <f t="shared" si="3"/>
        <v>#N/A</v>
      </c>
    </row>
    <row r="243" spans="1:13">
      <c r="A243">
        <v>47</v>
      </c>
      <c r="B243" s="131" t="s">
        <v>122</v>
      </c>
      <c r="C243" s="131" t="s">
        <v>123</v>
      </c>
      <c r="D243" s="131" t="s">
        <v>7</v>
      </c>
      <c r="E243" s="131"/>
      <c r="F243" s="132"/>
      <c r="G243" s="131" t="s">
        <v>26</v>
      </c>
      <c r="H243" s="131" t="s">
        <v>8</v>
      </c>
      <c r="I243" s="132"/>
      <c r="J243" s="131" t="s">
        <v>558</v>
      </c>
      <c r="K243" s="131" t="str">
        <f>J243&amp;COUNTIF($J$2:J243,J243)</f>
        <v>المستقيلين_والمستبعدين47</v>
      </c>
      <c r="L243" s="131"/>
      <c r="M243" s="131" t="e">
        <f t="shared" si="3"/>
        <v>#N/A</v>
      </c>
    </row>
    <row r="244" spans="1:13">
      <c r="A244">
        <v>48</v>
      </c>
      <c r="B244" s="131" t="s">
        <v>124</v>
      </c>
      <c r="C244" s="131" t="s">
        <v>125</v>
      </c>
      <c r="D244" s="131" t="s">
        <v>7</v>
      </c>
      <c r="E244" s="131" t="s">
        <v>326</v>
      </c>
      <c r="F244" s="132"/>
      <c r="G244" s="131" t="s">
        <v>26</v>
      </c>
      <c r="H244" s="131" t="s">
        <v>27</v>
      </c>
      <c r="I244" s="132"/>
      <c r="J244" s="131" t="s">
        <v>558</v>
      </c>
      <c r="K244" s="131" t="str">
        <f>J244&amp;COUNTIF($J$2:J244,J244)</f>
        <v>المستقيلين_والمستبعدين48</v>
      </c>
      <c r="L244" s="131"/>
      <c r="M244" s="131" t="e">
        <f t="shared" si="3"/>
        <v>#N/A</v>
      </c>
    </row>
    <row r="245" spans="1:13">
      <c r="A245">
        <v>49</v>
      </c>
      <c r="B245" s="131" t="s">
        <v>126</v>
      </c>
      <c r="C245" s="131" t="s">
        <v>127</v>
      </c>
      <c r="D245" s="131" t="s">
        <v>7</v>
      </c>
      <c r="E245" s="131" t="s">
        <v>280</v>
      </c>
      <c r="F245" s="132"/>
      <c r="G245" s="131" t="s">
        <v>26</v>
      </c>
      <c r="H245" s="131" t="s">
        <v>27</v>
      </c>
      <c r="I245" s="132"/>
      <c r="J245" s="131" t="s">
        <v>558</v>
      </c>
      <c r="K245" s="131" t="str">
        <f>J245&amp;COUNTIF($J$2:J245,J245)</f>
        <v>المستقيلين_والمستبعدين49</v>
      </c>
      <c r="L245" s="131"/>
      <c r="M245" s="131" t="e">
        <f t="shared" si="3"/>
        <v>#N/A</v>
      </c>
    </row>
    <row r="246" spans="1:13">
      <c r="A246">
        <v>1</v>
      </c>
      <c r="B246" s="131" t="s">
        <v>130</v>
      </c>
      <c r="C246" s="131" t="s">
        <v>131</v>
      </c>
      <c r="D246" s="131" t="s">
        <v>7</v>
      </c>
      <c r="E246" s="131"/>
      <c r="F246" s="132"/>
      <c r="G246" s="131" t="s">
        <v>133</v>
      </c>
      <c r="H246" s="131" t="s">
        <v>134</v>
      </c>
      <c r="I246" s="132"/>
      <c r="J246" s="131" t="s">
        <v>565</v>
      </c>
      <c r="K246" s="131" t="str">
        <f>J246&amp;COUNTIF($J$2:J246,J246)</f>
        <v>المعارين1</v>
      </c>
      <c r="L246" s="131"/>
      <c r="M246" s="131" t="e">
        <f t="shared" si="3"/>
        <v>#N/A</v>
      </c>
    </row>
    <row r="247" spans="1:13">
      <c r="A247">
        <v>2</v>
      </c>
      <c r="B247" s="131" t="s">
        <v>135</v>
      </c>
      <c r="C247" s="131" t="s">
        <v>136</v>
      </c>
      <c r="D247" s="131" t="s">
        <v>7</v>
      </c>
      <c r="E247" s="131"/>
      <c r="F247" s="132"/>
      <c r="G247" s="131" t="s">
        <v>133</v>
      </c>
      <c r="H247" s="131" t="s">
        <v>134</v>
      </c>
      <c r="I247" s="132"/>
      <c r="J247" s="131" t="s">
        <v>565</v>
      </c>
      <c r="K247" s="131" t="str">
        <f>J247&amp;COUNTIF($J$2:J247,J247)</f>
        <v>المعارين2</v>
      </c>
      <c r="L247" s="131"/>
      <c r="M247" s="131" t="e">
        <f t="shared" si="3"/>
        <v>#N/A</v>
      </c>
    </row>
    <row r="248" spans="1:13">
      <c r="A248">
        <v>3</v>
      </c>
      <c r="B248" s="131" t="s">
        <v>138</v>
      </c>
      <c r="C248" s="131" t="s">
        <v>139</v>
      </c>
      <c r="D248" s="131" t="s">
        <v>7</v>
      </c>
      <c r="E248" s="131" t="s">
        <v>161</v>
      </c>
      <c r="F248" s="132"/>
      <c r="G248" s="131" t="s">
        <v>133</v>
      </c>
      <c r="H248" s="131" t="s">
        <v>134</v>
      </c>
      <c r="I248" s="132"/>
      <c r="J248" s="131" t="s">
        <v>565</v>
      </c>
      <c r="K248" s="131" t="str">
        <f>J248&amp;COUNTIF($J$2:J248,J248)</f>
        <v>المعارين3</v>
      </c>
      <c r="L248" s="131"/>
      <c r="M248" s="131" t="e">
        <f t="shared" si="3"/>
        <v>#N/A</v>
      </c>
    </row>
    <row r="249" spans="1:13">
      <c r="A249">
        <v>4</v>
      </c>
      <c r="B249" s="131" t="s">
        <v>141</v>
      </c>
      <c r="C249" s="131" t="s">
        <v>142</v>
      </c>
      <c r="D249" s="131" t="s">
        <v>7</v>
      </c>
      <c r="E249" s="131"/>
      <c r="F249" s="132"/>
      <c r="G249" s="131" t="s">
        <v>133</v>
      </c>
      <c r="H249" s="131" t="s">
        <v>9</v>
      </c>
      <c r="I249" s="132"/>
      <c r="J249" s="131" t="s">
        <v>565</v>
      </c>
      <c r="K249" s="131" t="str">
        <f>J249&amp;COUNTIF($J$2:J249,J249)</f>
        <v>المعارين4</v>
      </c>
      <c r="L249" s="131"/>
      <c r="M249" s="131" t="e">
        <f t="shared" si="3"/>
        <v>#N/A</v>
      </c>
    </row>
    <row r="250" spans="1:13">
      <c r="A250">
        <v>5</v>
      </c>
      <c r="B250" s="131" t="s">
        <v>143</v>
      </c>
      <c r="C250" s="131"/>
      <c r="D250" s="131" t="s">
        <v>7</v>
      </c>
      <c r="E250" s="131"/>
      <c r="F250" s="132"/>
      <c r="G250" s="131" t="s">
        <v>133</v>
      </c>
      <c r="H250" s="131" t="s">
        <v>9</v>
      </c>
      <c r="I250" s="132"/>
      <c r="J250" s="131" t="s">
        <v>565</v>
      </c>
      <c r="K250" s="131" t="str">
        <f>J250&amp;COUNTIF($J$2:J250,J250)</f>
        <v>المعارين5</v>
      </c>
      <c r="L250" s="131"/>
      <c r="M250" s="131" t="e">
        <f t="shared" si="3"/>
        <v>#N/A</v>
      </c>
    </row>
    <row r="251" spans="1:13">
      <c r="A251">
        <v>6</v>
      </c>
      <c r="B251" s="131" t="s">
        <v>144</v>
      </c>
      <c r="C251" s="131" t="s">
        <v>145</v>
      </c>
      <c r="D251" s="131" t="s">
        <v>7</v>
      </c>
      <c r="E251" s="131"/>
      <c r="F251" s="132"/>
      <c r="G251" s="131" t="s">
        <v>133</v>
      </c>
      <c r="H251" s="131" t="s">
        <v>134</v>
      </c>
      <c r="I251" s="132"/>
      <c r="J251" s="131" t="s">
        <v>565</v>
      </c>
      <c r="K251" s="131" t="str">
        <f>J251&amp;COUNTIF($J$2:J251,J251)</f>
        <v>المعارين6</v>
      </c>
      <c r="L251" s="131"/>
      <c r="M251" s="131" t="e">
        <f t="shared" si="3"/>
        <v>#N/A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84"/>
  <sheetViews>
    <sheetView rightToLeft="1" workbookViewId="0">
      <selection activeCell="B18" sqref="B18"/>
    </sheetView>
  </sheetViews>
  <sheetFormatPr defaultColWidth="14.42578125" defaultRowHeight="15.75" customHeight="1"/>
  <cols>
    <col min="1" max="1" width="4.28515625" customWidth="1"/>
    <col min="2" max="2" width="26.5703125" customWidth="1"/>
    <col min="3" max="3" width="16.7109375" customWidth="1"/>
    <col min="4" max="4" width="19.28515625" customWidth="1"/>
    <col min="5" max="5" width="26.140625" customWidth="1"/>
    <col min="6" max="6" width="17.28515625" customWidth="1"/>
    <col min="7" max="7" width="9.7109375" customWidth="1"/>
    <col min="8" max="8" width="7.85546875" customWidth="1"/>
    <col min="9" max="9" width="58.85546875" customWidth="1"/>
    <col min="10" max="10" width="14" customWidth="1"/>
    <col min="11" max="11" width="21.140625" customWidth="1"/>
    <col min="12" max="12" width="21.85546875" customWidth="1"/>
    <col min="13" max="13" width="39.28515625" customWidth="1"/>
    <col min="14" max="14" width="12.5703125" customWidth="1"/>
    <col min="15" max="15" width="11.140625" customWidth="1"/>
    <col min="16" max="16" width="7.7109375" customWidth="1"/>
    <col min="17" max="17" width="11" customWidth="1"/>
    <col min="18" max="18" width="11.140625" customWidth="1"/>
    <col min="19" max="19" width="15.140625" customWidth="1"/>
    <col min="20" max="20" width="10.140625" customWidth="1"/>
    <col min="21" max="21" width="12.140625" customWidth="1"/>
    <col min="22" max="22" width="15.140625" customWidth="1"/>
    <col min="23" max="23" width="9.85546875" customWidth="1"/>
    <col min="24" max="24" width="13.42578125" customWidth="1"/>
    <col min="25" max="25" width="12.28515625" customWidth="1"/>
    <col min="26" max="42" width="9.85546875" customWidth="1"/>
  </cols>
  <sheetData>
    <row r="1" spans="1:42" ht="13.5" customHeight="1">
      <c r="A1" s="90" t="s">
        <v>0</v>
      </c>
      <c r="B1" s="91" t="s">
        <v>1</v>
      </c>
      <c r="C1" s="92" t="s">
        <v>2</v>
      </c>
      <c r="D1" s="92" t="s">
        <v>3</v>
      </c>
      <c r="E1" s="91" t="s">
        <v>20</v>
      </c>
      <c r="F1" s="91" t="s">
        <v>149</v>
      </c>
      <c r="G1" s="91" t="s">
        <v>22</v>
      </c>
      <c r="H1" s="93" t="s">
        <v>5</v>
      </c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6"/>
      <c r="Y1" s="1"/>
      <c r="Z1" s="1"/>
      <c r="AA1" s="1"/>
      <c r="AB1" s="1"/>
      <c r="AC1" s="1"/>
      <c r="AD1" s="1"/>
      <c r="AE1" s="1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ht="13.5" customHeight="1">
      <c r="A2" s="88">
        <f ca="1">IFERROR(__xludf.DUMMYFUNCTION("""COMPUTED_VALUE"""),1)</f>
        <v>1</v>
      </c>
      <c r="B2" s="4" t="str">
        <f ca="1">IFERROR(__xludf.DUMMYFUNCTION("""COMPUTED_VALUE"""),"بيان سليمان إبراهيم الصيقل")</f>
        <v>بيان سليمان إبراهيم الصيقل</v>
      </c>
      <c r="C2" s="3" t="str">
        <f ca="1">IFERROR(__xludf.DUMMYFUNCTION("""COMPUTED_VALUE"""),"B.alsayaql")</f>
        <v>B.alsayaql</v>
      </c>
      <c r="D2" s="8" t="str">
        <f ca="1">IFERROR(__xludf.DUMMYFUNCTION("""COMPUTED_VALUE"""),"داخلي")</f>
        <v>داخلي</v>
      </c>
      <c r="E2" s="8">
        <f ca="1">IFERROR(__xludf.DUMMYFUNCTION("""COMPUTED_VALUE"""),44494)</f>
        <v>44494</v>
      </c>
      <c r="F2" s="9">
        <f ca="1">IFERROR(__xludf.DUMMYFUNCTION("""COMPUTED_VALUE"""),44494)</f>
        <v>44494</v>
      </c>
      <c r="G2" s="4" t="str">
        <f ca="1">IFERROR(__xludf.DUMMYFUNCTION("""COMPUTED_VALUE"""),"عقد توظيف")</f>
        <v>عقد توظيف</v>
      </c>
      <c r="H2" s="89" t="str">
        <f ca="1">IFERROR(__xludf.DUMMYFUNCTION("""COMPUTED_VALUE"""),"أنثى")</f>
        <v>أنثى</v>
      </c>
      <c r="I2" s="4"/>
      <c r="J2" s="6"/>
      <c r="K2" s="6"/>
      <c r="L2" s="10"/>
      <c r="M2" s="11"/>
      <c r="N2" s="8"/>
      <c r="O2" s="8"/>
      <c r="P2" s="12"/>
      <c r="Q2" s="13"/>
      <c r="R2" s="1"/>
      <c r="S2" s="14"/>
      <c r="T2" s="11"/>
      <c r="U2" s="1"/>
      <c r="V2" s="15"/>
      <c r="W2" s="1"/>
      <c r="X2" s="1"/>
      <c r="Y2" s="6"/>
      <c r="Z2" s="1"/>
      <c r="AA2" s="1"/>
      <c r="AB2" s="1"/>
      <c r="AC2" s="1"/>
      <c r="AD2" s="1"/>
      <c r="AE2" s="4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3.5" customHeight="1">
      <c r="A3" s="88">
        <f ca="1">IFERROR(__xludf.DUMMYFUNCTION("""COMPUTED_VALUE"""),2)</f>
        <v>2</v>
      </c>
      <c r="B3" s="4" t="str">
        <f ca="1">IFERROR(__xludf.DUMMYFUNCTION("""COMPUTED_VALUE"""),"هيا خالد الخزيم")</f>
        <v>هيا خالد الخزيم</v>
      </c>
      <c r="C3" s="3" t="str">
        <f ca="1">IFERROR(__xludf.DUMMYFUNCTION("""COMPUTED_VALUE"""),"H.alkhuzayyim")</f>
        <v>H.alkhuzayyim</v>
      </c>
      <c r="D3" s="8" t="str">
        <f ca="1">IFERROR(__xludf.DUMMYFUNCTION("""COMPUTED_VALUE"""),"داخلي")</f>
        <v>داخلي</v>
      </c>
      <c r="E3" s="8">
        <f ca="1">IFERROR(__xludf.DUMMYFUNCTION("""COMPUTED_VALUE"""),44494)</f>
        <v>44494</v>
      </c>
      <c r="F3" s="9">
        <f ca="1">IFERROR(__xludf.DUMMYFUNCTION("""COMPUTED_VALUE"""),44494)</f>
        <v>44494</v>
      </c>
      <c r="G3" s="4" t="str">
        <f ca="1">IFERROR(__xludf.DUMMYFUNCTION("""COMPUTED_VALUE"""),"عقد توظيف")</f>
        <v>عقد توظيف</v>
      </c>
      <c r="H3" s="89" t="str">
        <f ca="1">IFERROR(__xludf.DUMMYFUNCTION("""COMPUTED_VALUE"""),"أنثى")</f>
        <v>أنثى</v>
      </c>
      <c r="I3" s="4"/>
      <c r="J3" s="6"/>
      <c r="K3" s="6"/>
      <c r="L3" s="10"/>
      <c r="M3" s="6"/>
      <c r="N3" s="8"/>
      <c r="O3" s="8"/>
      <c r="P3" s="12"/>
      <c r="Q3" s="13"/>
      <c r="R3" s="1"/>
      <c r="S3" s="14"/>
      <c r="T3" s="11"/>
      <c r="U3" s="1"/>
      <c r="V3" s="15"/>
      <c r="W3" s="1"/>
      <c r="X3" s="1"/>
      <c r="Y3" s="6"/>
      <c r="Z3" s="1"/>
      <c r="AA3" s="1"/>
      <c r="AB3" s="1"/>
      <c r="AC3" s="1"/>
      <c r="AD3" s="1"/>
      <c r="AE3" s="4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</row>
    <row r="4" spans="1:42" ht="13.5" customHeight="1">
      <c r="A4" s="88">
        <f ca="1">IFERROR(__xludf.DUMMYFUNCTION("""COMPUTED_VALUE"""),3)</f>
        <v>3</v>
      </c>
      <c r="B4" s="4" t="str">
        <f ca="1">IFERROR(__xludf.DUMMYFUNCTION("""COMPUTED_VALUE"""),"وجدان مشعل الحربي")</f>
        <v>وجدان مشعل الحربي</v>
      </c>
      <c r="C4" s="3" t="str">
        <f ca="1">IFERROR(__xludf.DUMMYFUNCTION("""COMPUTED_VALUE"""),"W.alharrbi1")</f>
        <v>W.alharrbi1</v>
      </c>
      <c r="D4" s="8" t="str">
        <f ca="1">IFERROR(__xludf.DUMMYFUNCTION("""COMPUTED_VALUE"""),"داخلي")</f>
        <v>داخلي</v>
      </c>
      <c r="E4" s="8">
        <f ca="1">IFERROR(__xludf.DUMMYFUNCTION("""COMPUTED_VALUE"""),44494)</f>
        <v>44494</v>
      </c>
      <c r="F4" s="9">
        <f ca="1">IFERROR(__xludf.DUMMYFUNCTION("""COMPUTED_VALUE"""),44494)</f>
        <v>44494</v>
      </c>
      <c r="G4" s="4" t="str">
        <f ca="1">IFERROR(__xludf.DUMMYFUNCTION("""COMPUTED_VALUE"""),"عقد توظيف")</f>
        <v>عقد توظيف</v>
      </c>
      <c r="H4" s="89" t="str">
        <f ca="1">IFERROR(__xludf.DUMMYFUNCTION("""COMPUTED_VALUE"""),"أنثى")</f>
        <v>أنثى</v>
      </c>
      <c r="I4" s="4"/>
      <c r="J4" s="6"/>
      <c r="K4" s="6"/>
      <c r="L4" s="10"/>
      <c r="M4" s="4"/>
      <c r="N4" s="8"/>
      <c r="O4" s="8"/>
      <c r="P4" s="12"/>
      <c r="Q4" s="13"/>
      <c r="R4" s="1"/>
      <c r="S4" s="14"/>
      <c r="T4" s="11"/>
      <c r="U4" s="1"/>
      <c r="V4" s="15"/>
      <c r="W4" s="1"/>
      <c r="X4" s="1"/>
      <c r="Y4" s="6"/>
      <c r="Z4" s="1"/>
      <c r="AA4" s="1"/>
      <c r="AB4" s="1"/>
      <c r="AC4" s="1"/>
      <c r="AD4" s="1"/>
      <c r="AE4" s="1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ht="13.5" customHeight="1">
      <c r="A5" s="88">
        <f ca="1">IFERROR(__xludf.DUMMYFUNCTION("""COMPUTED_VALUE"""),4)</f>
        <v>4</v>
      </c>
      <c r="B5" s="17" t="str">
        <f ca="1">IFERROR(__xludf.DUMMYFUNCTION("""COMPUTED_VALUE"""),"مها عبدالله محمد الدوسري")</f>
        <v>مها عبدالله محمد الدوسري</v>
      </c>
      <c r="C5" s="3" t="str">
        <f ca="1">IFERROR(__xludf.DUMMYFUNCTION("""COMPUTED_VALUE"""),"M.aldosri1")</f>
        <v>M.aldosri1</v>
      </c>
      <c r="D5" s="8" t="str">
        <f ca="1">IFERROR(__xludf.DUMMYFUNCTION("""COMPUTED_VALUE"""),"داخلي")</f>
        <v>داخلي</v>
      </c>
      <c r="E5" s="8">
        <f ca="1">IFERROR(__xludf.DUMMYFUNCTION("""COMPUTED_VALUE"""),44497)</f>
        <v>44497</v>
      </c>
      <c r="F5" s="9">
        <f ca="1">IFERROR(__xludf.DUMMYFUNCTION("""COMPUTED_VALUE"""),44497)</f>
        <v>44497</v>
      </c>
      <c r="G5" s="4" t="str">
        <f ca="1">IFERROR(__xludf.DUMMYFUNCTION("""COMPUTED_VALUE"""),"عقد توظيف")</f>
        <v>عقد توظيف</v>
      </c>
      <c r="H5" s="89" t="str">
        <f ca="1">IFERROR(__xludf.DUMMYFUNCTION("""COMPUTED_VALUE"""),"أنثى")</f>
        <v>أنثى</v>
      </c>
      <c r="I5" s="4"/>
      <c r="J5" s="6"/>
      <c r="K5" s="6"/>
      <c r="L5" s="10"/>
      <c r="M5" s="6"/>
      <c r="N5" s="8"/>
      <c r="O5" s="8"/>
      <c r="P5" s="12"/>
      <c r="Q5" s="13"/>
      <c r="R5" s="1"/>
      <c r="S5" s="14"/>
      <c r="T5" s="11"/>
      <c r="U5" s="1"/>
      <c r="V5" s="15"/>
      <c r="W5" s="1"/>
      <c r="X5" s="1"/>
      <c r="Y5" s="1"/>
      <c r="Z5" s="1"/>
      <c r="AA5" s="1"/>
      <c r="AB5" s="1"/>
      <c r="AC5" s="1"/>
      <c r="AD5" s="1"/>
      <c r="AE5" s="1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3.5" customHeight="1">
      <c r="A6" s="88">
        <f ca="1">IFERROR(__xludf.DUMMYFUNCTION("""COMPUTED_VALUE"""),5)</f>
        <v>5</v>
      </c>
      <c r="B6" s="2" t="str">
        <f ca="1">IFERROR(__xludf.DUMMYFUNCTION("""COMPUTED_VALUE"""),"ريناد هزاع الهزاع")</f>
        <v>ريناد هزاع الهزاع</v>
      </c>
      <c r="C6" s="3" t="str">
        <f ca="1">IFERROR(__xludf.DUMMYFUNCTION("""COMPUTED_VALUE"""),"R.alhazaa1")</f>
        <v>R.alhazaa1</v>
      </c>
      <c r="D6" s="8" t="str">
        <f ca="1">IFERROR(__xludf.DUMMYFUNCTION("""COMPUTED_VALUE"""),"داخلي")</f>
        <v>داخلي</v>
      </c>
      <c r="E6" s="8">
        <f ca="1">IFERROR(__xludf.DUMMYFUNCTION("""COMPUTED_VALUE"""),44500)</f>
        <v>44500</v>
      </c>
      <c r="F6" s="9">
        <f ca="1">IFERROR(__xludf.DUMMYFUNCTION("""COMPUTED_VALUE"""),44500)</f>
        <v>44500</v>
      </c>
      <c r="G6" s="4" t="str">
        <f ca="1">IFERROR(__xludf.DUMMYFUNCTION("""COMPUTED_VALUE"""),"عمل حر")</f>
        <v>عمل حر</v>
      </c>
      <c r="H6" s="89" t="str">
        <f ca="1">IFERROR(__xludf.DUMMYFUNCTION("""COMPUTED_VALUE"""),"أنثى")</f>
        <v>أنثى</v>
      </c>
      <c r="I6" s="4"/>
      <c r="J6" s="6"/>
      <c r="K6" s="6"/>
      <c r="L6" s="10"/>
      <c r="M6" s="4"/>
      <c r="N6" s="8"/>
      <c r="O6" s="8"/>
      <c r="P6" s="12"/>
      <c r="Q6" s="13"/>
      <c r="R6" s="1"/>
      <c r="S6" s="14"/>
      <c r="T6" s="11"/>
      <c r="U6" s="1"/>
      <c r="V6" s="15"/>
      <c r="W6" s="1"/>
      <c r="X6" s="6"/>
      <c r="Y6" s="1"/>
      <c r="Z6" s="1"/>
      <c r="AA6" s="1"/>
      <c r="AB6" s="1"/>
      <c r="AC6" s="1"/>
      <c r="AD6" s="1"/>
      <c r="AE6" s="1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ht="13.5" customHeight="1">
      <c r="A7" s="88">
        <f ca="1">IFERROR(__xludf.DUMMYFUNCTION("""COMPUTED_VALUE"""),6)</f>
        <v>6</v>
      </c>
      <c r="B7" s="18" t="str">
        <f ca="1">IFERROR(__xludf.DUMMYFUNCTION("""COMPUTED_VALUE"""),"وليد ابراهيم سعود القميزي ")</f>
        <v xml:space="preserve">وليد ابراهيم سعود القميزي </v>
      </c>
      <c r="C7" s="3" t="str">
        <f ca="1">IFERROR(__xludf.DUMMYFUNCTION("""COMPUTED_VALUE"""),"W.algomyze")</f>
        <v>W.algomyze</v>
      </c>
      <c r="D7" s="8" t="str">
        <f ca="1">IFERROR(__xludf.DUMMYFUNCTION("""COMPUTED_VALUE"""),"داخلي")</f>
        <v>داخلي</v>
      </c>
      <c r="E7" s="8">
        <f ca="1">IFERROR(__xludf.DUMMYFUNCTION("""COMPUTED_VALUE"""),44507)</f>
        <v>44507</v>
      </c>
      <c r="F7" s="9">
        <f ca="1">IFERROR(__xludf.DUMMYFUNCTION("""COMPUTED_VALUE"""),44521)</f>
        <v>44521</v>
      </c>
      <c r="G7" s="4" t="str">
        <f ca="1">IFERROR(__xludf.DUMMYFUNCTION("""COMPUTED_VALUE"""),"عمل حر")</f>
        <v>عمل حر</v>
      </c>
      <c r="H7" s="89" t="str">
        <f ca="1">IFERROR(__xludf.DUMMYFUNCTION("""COMPUTED_VALUE"""),"ذكر ")</f>
        <v xml:space="preserve">ذكر </v>
      </c>
      <c r="I7" s="4"/>
      <c r="J7" s="6"/>
      <c r="K7" s="10"/>
      <c r="L7" s="10"/>
      <c r="M7" s="6"/>
      <c r="N7" s="8"/>
      <c r="O7" s="8"/>
      <c r="P7" s="12"/>
      <c r="Q7" s="13"/>
      <c r="R7" s="1"/>
      <c r="S7" s="14"/>
      <c r="T7" s="11"/>
      <c r="U7" s="1"/>
      <c r="V7" s="15"/>
      <c r="W7" s="1"/>
      <c r="X7" s="1"/>
      <c r="Y7" s="6"/>
      <c r="Z7" s="1"/>
      <c r="AA7" s="1"/>
      <c r="AB7" s="1"/>
      <c r="AC7" s="1"/>
      <c r="AD7" s="1"/>
      <c r="AE7" s="4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</row>
    <row r="8" spans="1:42" ht="13.5" customHeight="1">
      <c r="A8" s="88">
        <f ca="1">IFERROR(__xludf.DUMMYFUNCTION("""COMPUTED_VALUE"""),7)</f>
        <v>7</v>
      </c>
      <c r="B8" s="2" t="str">
        <f ca="1">IFERROR(__xludf.DUMMYFUNCTION("""COMPUTED_VALUE"""),"أثير صالح الوهيد")</f>
        <v>أثير صالح الوهيد</v>
      </c>
      <c r="C8" s="3" t="str">
        <f ca="1">IFERROR(__xludf.DUMMYFUNCTION("""COMPUTED_VALUE"""),"Awheed")</f>
        <v>Awheed</v>
      </c>
      <c r="D8" s="8" t="str">
        <f ca="1">IFERROR(__xludf.DUMMYFUNCTION("""COMPUTED_VALUE"""),"داخلي")</f>
        <v>داخلي</v>
      </c>
      <c r="E8" s="8">
        <f ca="1">IFERROR(__xludf.DUMMYFUNCTION("""COMPUTED_VALUE"""),44516)</f>
        <v>44516</v>
      </c>
      <c r="F8" s="9">
        <f ca="1">IFERROR(__xludf.DUMMYFUNCTION("""COMPUTED_VALUE"""),44516)</f>
        <v>44516</v>
      </c>
      <c r="G8" s="4" t="str">
        <f ca="1">IFERROR(__xludf.DUMMYFUNCTION("""COMPUTED_VALUE"""),"عقد توظيف")</f>
        <v>عقد توظيف</v>
      </c>
      <c r="H8" s="89" t="str">
        <f ca="1">IFERROR(__xludf.DUMMYFUNCTION("""COMPUTED_VALUE"""),"أنثى")</f>
        <v>أنثى</v>
      </c>
      <c r="I8" s="4"/>
      <c r="J8" s="6"/>
      <c r="K8" s="10"/>
      <c r="L8" s="10"/>
      <c r="M8" s="6"/>
      <c r="N8" s="8"/>
      <c r="O8" s="8"/>
      <c r="P8" s="12"/>
      <c r="Q8" s="13"/>
      <c r="R8" s="1"/>
      <c r="S8" s="14"/>
      <c r="T8" s="11"/>
      <c r="U8" s="1"/>
      <c r="V8" s="15"/>
      <c r="W8" s="1"/>
      <c r="X8" s="1"/>
      <c r="Y8" s="6"/>
      <c r="Z8" s="1"/>
      <c r="AA8" s="1"/>
      <c r="AB8" s="1"/>
      <c r="AC8" s="1"/>
      <c r="AD8" s="1"/>
      <c r="AE8" s="4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</row>
    <row r="9" spans="1:42" ht="13.5" customHeight="1">
      <c r="A9" s="88">
        <f ca="1">IFERROR(__xludf.DUMMYFUNCTION("""COMPUTED_VALUE"""),8)</f>
        <v>8</v>
      </c>
      <c r="B9" s="18" t="str">
        <f ca="1">IFERROR(__xludf.DUMMYFUNCTION("""COMPUTED_VALUE"""),"عبدالله عبدالرحمن الوهيبي")</f>
        <v>عبدالله عبدالرحمن الوهيبي</v>
      </c>
      <c r="C9" s="3" t="str">
        <f ca="1">IFERROR(__xludf.DUMMYFUNCTION("""COMPUTED_VALUE"""),"Awheebi")</f>
        <v>Awheebi</v>
      </c>
      <c r="D9" s="8" t="str">
        <f ca="1">IFERROR(__xludf.DUMMYFUNCTION("""COMPUTED_VALUE"""),"داخلي")</f>
        <v>داخلي</v>
      </c>
      <c r="E9" s="8">
        <f ca="1">IFERROR(__xludf.DUMMYFUNCTION("""COMPUTED_VALUE"""),44516)</f>
        <v>44516</v>
      </c>
      <c r="F9" s="9">
        <f ca="1">IFERROR(__xludf.DUMMYFUNCTION("""COMPUTED_VALUE"""),44516)</f>
        <v>44516</v>
      </c>
      <c r="G9" s="4" t="str">
        <f ca="1">IFERROR(__xludf.DUMMYFUNCTION("""COMPUTED_VALUE"""),"عقد توظيف")</f>
        <v>عقد توظيف</v>
      </c>
      <c r="H9" s="89" t="str">
        <f ca="1">IFERROR(__xludf.DUMMYFUNCTION("""COMPUTED_VALUE"""),"ذكر ")</f>
        <v xml:space="preserve">ذكر </v>
      </c>
      <c r="I9" s="4"/>
      <c r="J9" s="6"/>
      <c r="K9" s="10"/>
      <c r="L9" s="10"/>
      <c r="M9" s="6"/>
      <c r="N9" s="8"/>
      <c r="O9" s="8"/>
      <c r="P9" s="12"/>
      <c r="Q9" s="13"/>
      <c r="R9" s="1"/>
      <c r="S9" s="14"/>
      <c r="T9" s="11"/>
      <c r="U9" s="1"/>
      <c r="V9" s="15"/>
      <c r="W9" s="1"/>
      <c r="X9" s="1"/>
      <c r="Y9" s="1"/>
      <c r="Z9" s="1"/>
      <c r="AA9" s="1"/>
      <c r="AB9" s="1"/>
      <c r="AC9" s="1"/>
      <c r="AD9" s="1"/>
      <c r="AE9" s="1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ht="13.5" customHeight="1">
      <c r="A10" s="88">
        <f ca="1">IFERROR(__xludf.DUMMYFUNCTION("""COMPUTED_VALUE"""),9)</f>
        <v>9</v>
      </c>
      <c r="B10" s="18" t="str">
        <f ca="1">IFERROR(__xludf.DUMMYFUNCTION("""COMPUTED_VALUE"""),"محمد خالد الشيباني")</f>
        <v>محمد خالد الشيباني</v>
      </c>
      <c r="C10" s="3" t="str">
        <f ca="1">IFERROR(__xludf.DUMMYFUNCTION("""COMPUTED_VALUE"""),"Mshebani")</f>
        <v>Mshebani</v>
      </c>
      <c r="D10" s="8" t="str">
        <f ca="1">IFERROR(__xludf.DUMMYFUNCTION("""COMPUTED_VALUE"""),"داخلي")</f>
        <v>داخلي</v>
      </c>
      <c r="E10" s="8">
        <f ca="1">IFERROR(__xludf.DUMMYFUNCTION("""COMPUTED_VALUE"""),44516)</f>
        <v>44516</v>
      </c>
      <c r="F10" s="9">
        <f ca="1">IFERROR(__xludf.DUMMYFUNCTION("""COMPUTED_VALUE"""),44516)</f>
        <v>44516</v>
      </c>
      <c r="G10" s="4" t="str">
        <f ca="1">IFERROR(__xludf.DUMMYFUNCTION("""COMPUTED_VALUE"""),"عقد توظيف")</f>
        <v>عقد توظيف</v>
      </c>
      <c r="H10" s="89" t="str">
        <f ca="1">IFERROR(__xludf.DUMMYFUNCTION("""COMPUTED_VALUE"""),"ذكر ")</f>
        <v xml:space="preserve">ذكر </v>
      </c>
      <c r="I10" s="4"/>
      <c r="J10" s="6"/>
      <c r="K10" s="10"/>
      <c r="L10" s="10"/>
      <c r="M10" s="6"/>
      <c r="N10" s="6"/>
      <c r="O10" s="8"/>
      <c r="P10" s="12"/>
      <c r="Q10" s="13"/>
      <c r="R10" s="1"/>
      <c r="S10" s="14"/>
      <c r="T10" s="1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ht="13.5" customHeight="1">
      <c r="A11" s="88">
        <f ca="1">IFERROR(__xludf.DUMMYFUNCTION("""COMPUTED_VALUE"""),10)</f>
        <v>10</v>
      </c>
      <c r="B11" s="2" t="str">
        <f ca="1">IFERROR(__xludf.DUMMYFUNCTION("""COMPUTED_VALUE"""),"سعد ناصر القحطاني")</f>
        <v>سعد ناصر القحطاني</v>
      </c>
      <c r="C11" s="3" t="str">
        <f ca="1">IFERROR(__xludf.DUMMYFUNCTION("""COMPUTED_VALUE"""),"Snbdah")</f>
        <v>Snbdah</v>
      </c>
      <c r="D11" s="8" t="str">
        <f ca="1">IFERROR(__xludf.DUMMYFUNCTION("""COMPUTED_VALUE"""),"داخلي")</f>
        <v>داخلي</v>
      </c>
      <c r="E11" s="8">
        <f ca="1">IFERROR(__xludf.DUMMYFUNCTION("""COMPUTED_VALUE"""),44516)</f>
        <v>44516</v>
      </c>
      <c r="F11" s="9">
        <f ca="1">IFERROR(__xludf.DUMMYFUNCTION("""COMPUTED_VALUE"""),44524)</f>
        <v>44524</v>
      </c>
      <c r="G11" s="4" t="str">
        <f ca="1">IFERROR(__xludf.DUMMYFUNCTION("""COMPUTED_VALUE"""),"عمل حر")</f>
        <v>عمل حر</v>
      </c>
      <c r="H11" s="89" t="str">
        <f ca="1">IFERROR(__xludf.DUMMYFUNCTION("""COMPUTED_VALUE"""),"ذكر ")</f>
        <v xml:space="preserve">ذكر </v>
      </c>
      <c r="I11" s="4"/>
      <c r="J11" s="6"/>
      <c r="K11" s="6"/>
      <c r="L11" s="6"/>
      <c r="M11" s="6"/>
      <c r="N11" s="6"/>
      <c r="O11" s="8"/>
      <c r="P11" s="12"/>
      <c r="Q11" s="13"/>
      <c r="R11" s="1"/>
      <c r="S11" s="14"/>
      <c r="T11" s="11"/>
      <c r="U11" s="1"/>
      <c r="V11" s="15"/>
      <c r="W11" s="1"/>
      <c r="X11" s="1"/>
      <c r="Y11" s="1"/>
      <c r="Z11" s="1"/>
      <c r="AA11" s="1"/>
      <c r="AB11" s="1"/>
      <c r="AC11" s="1"/>
      <c r="AD11" s="1"/>
      <c r="AE11" s="1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ht="13.5" customHeight="1">
      <c r="A12" s="88">
        <f ca="1">IFERROR(__xludf.DUMMYFUNCTION("""COMPUTED_VALUE"""),11)</f>
        <v>11</v>
      </c>
      <c r="B12" s="19" t="str">
        <f ca="1">IFERROR(__xludf.DUMMYFUNCTION("""COMPUTED_VALUE"""),"إيمان عبدالعزيز النعيم")</f>
        <v>إيمان عبدالعزيز النعيم</v>
      </c>
      <c r="C12" s="3" t="str">
        <f ca="1">IFERROR(__xludf.DUMMYFUNCTION("""COMPUTED_VALUE"""),"Enaeem")</f>
        <v>Enaeem</v>
      </c>
      <c r="D12" s="8" t="str">
        <f ca="1">IFERROR(__xludf.DUMMYFUNCTION("""COMPUTED_VALUE"""),"داخلي")</f>
        <v>داخلي</v>
      </c>
      <c r="E12" s="8">
        <f ca="1">IFERROR(__xludf.DUMMYFUNCTION("""COMPUTED_VALUE"""),44516)</f>
        <v>44516</v>
      </c>
      <c r="F12" s="9">
        <f ca="1">IFERROR(__xludf.DUMMYFUNCTION("""COMPUTED_VALUE"""),44516)</f>
        <v>44516</v>
      </c>
      <c r="G12" s="4" t="str">
        <f ca="1">IFERROR(__xludf.DUMMYFUNCTION("""COMPUTED_VALUE"""),"عمل حر")</f>
        <v>عمل حر</v>
      </c>
      <c r="H12" s="89" t="str">
        <f ca="1">IFERROR(__xludf.DUMMYFUNCTION("""COMPUTED_VALUE"""),"أنثى")</f>
        <v>أنثى</v>
      </c>
      <c r="I12" s="4"/>
      <c r="J12" s="6"/>
      <c r="K12" s="10"/>
      <c r="L12" s="10"/>
      <c r="M12" s="6"/>
      <c r="N12" s="6"/>
      <c r="O12" s="8"/>
      <c r="P12" s="12"/>
      <c r="Q12" s="13"/>
      <c r="R12" s="1"/>
      <c r="S12" s="14"/>
      <c r="T12" s="11"/>
      <c r="U12" s="1"/>
      <c r="V12" s="15"/>
      <c r="W12" s="1"/>
      <c r="X12" s="1"/>
      <c r="Y12" s="1"/>
      <c r="Z12" s="1"/>
      <c r="AA12" s="1"/>
      <c r="AB12" s="1"/>
      <c r="AC12" s="1"/>
      <c r="AD12" s="1"/>
      <c r="AE12" s="1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ht="13.5" customHeight="1">
      <c r="A13" s="88">
        <f ca="1">IFERROR(__xludf.DUMMYFUNCTION("""COMPUTED_VALUE"""),12)</f>
        <v>12</v>
      </c>
      <c r="B13" s="18" t="str">
        <f ca="1">IFERROR(__xludf.DUMMYFUNCTION("""COMPUTED_VALUE"""),"عمر خالد العمر")</f>
        <v>عمر خالد العمر</v>
      </c>
      <c r="C13" s="3" t="str">
        <f ca="1">IFERROR(__xludf.DUMMYFUNCTION("""COMPUTED_VALUE"""),"Oomar")</f>
        <v>Oomar</v>
      </c>
      <c r="D13" s="8" t="str">
        <f ca="1">IFERROR(__xludf.DUMMYFUNCTION("""COMPUTED_VALUE"""),"داخلي")</f>
        <v>داخلي</v>
      </c>
      <c r="E13" s="8">
        <f ca="1">IFERROR(__xludf.DUMMYFUNCTION("""COMPUTED_VALUE"""),44516)</f>
        <v>44516</v>
      </c>
      <c r="F13" s="9">
        <f ca="1">IFERROR(__xludf.DUMMYFUNCTION("""COMPUTED_VALUE"""),44516)</f>
        <v>44516</v>
      </c>
      <c r="G13" s="4" t="str">
        <f ca="1">IFERROR(__xludf.DUMMYFUNCTION("""COMPUTED_VALUE"""),"عمل حر")</f>
        <v>عمل حر</v>
      </c>
      <c r="H13" s="89" t="str">
        <f ca="1">IFERROR(__xludf.DUMMYFUNCTION("""COMPUTED_VALUE"""),"ذكر ")</f>
        <v xml:space="preserve">ذكر </v>
      </c>
      <c r="I13" s="4"/>
      <c r="J13" s="6"/>
      <c r="K13" s="10"/>
      <c r="L13" s="10"/>
      <c r="M13" s="6"/>
      <c r="N13" s="6"/>
      <c r="O13" s="8"/>
      <c r="P13" s="12"/>
      <c r="Q13" s="13"/>
      <c r="R13" s="1"/>
      <c r="S13" s="14"/>
      <c r="T13" s="11"/>
      <c r="U13" s="1"/>
      <c r="V13" s="15"/>
      <c r="W13" s="1"/>
      <c r="X13" s="1"/>
      <c r="Y13" s="1"/>
      <c r="Z13" s="1"/>
      <c r="AA13" s="1"/>
      <c r="AB13" s="1"/>
      <c r="AC13" s="1"/>
      <c r="AD13" s="1"/>
      <c r="AE13" s="1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ht="13.5" customHeight="1">
      <c r="A14" s="88">
        <f ca="1">IFERROR(__xludf.DUMMYFUNCTION("""COMPUTED_VALUE"""),13)</f>
        <v>13</v>
      </c>
      <c r="B14" s="2" t="str">
        <f ca="1">IFERROR(__xludf.DUMMYFUNCTION("""COMPUTED_VALUE"""),"بدر بن سعد القرني")</f>
        <v>بدر بن سعد القرني</v>
      </c>
      <c r="C14" s="3" t="str">
        <f ca="1">IFERROR(__xludf.DUMMYFUNCTION("""COMPUTED_VALUE"""),"Bqarni")</f>
        <v>Bqarni</v>
      </c>
      <c r="D14" s="8" t="str">
        <f ca="1">IFERROR(__xludf.DUMMYFUNCTION("""COMPUTED_VALUE"""),"داخلي")</f>
        <v>داخلي</v>
      </c>
      <c r="E14" s="8">
        <f ca="1">IFERROR(__xludf.DUMMYFUNCTION("""COMPUTED_VALUE"""),44523)</f>
        <v>44523</v>
      </c>
      <c r="F14" s="9">
        <f ca="1">IFERROR(__xludf.DUMMYFUNCTION("""COMPUTED_VALUE"""),44523)</f>
        <v>44523</v>
      </c>
      <c r="G14" s="4" t="str">
        <f ca="1">IFERROR(__xludf.DUMMYFUNCTION("""COMPUTED_VALUE"""),"عقد توظيف")</f>
        <v>عقد توظيف</v>
      </c>
      <c r="H14" s="89" t="str">
        <f ca="1">IFERROR(__xludf.DUMMYFUNCTION("""COMPUTED_VALUE"""),"ذكر ")</f>
        <v xml:space="preserve">ذكر </v>
      </c>
      <c r="I14" s="4"/>
      <c r="J14" s="6"/>
      <c r="K14" s="6"/>
      <c r="L14" s="6"/>
      <c r="M14" s="6"/>
      <c r="N14" s="6"/>
      <c r="O14" s="8"/>
      <c r="P14" s="12"/>
      <c r="Q14" s="13"/>
      <c r="R14" s="1"/>
      <c r="S14" s="14"/>
      <c r="T14" s="11"/>
      <c r="U14" s="1"/>
      <c r="V14" s="15"/>
      <c r="W14" s="1"/>
      <c r="X14" s="1"/>
      <c r="Y14" s="1"/>
      <c r="Z14" s="1"/>
      <c r="AA14" s="1"/>
      <c r="AB14" s="1"/>
      <c r="AC14" s="1"/>
      <c r="AD14" s="1"/>
      <c r="AE14" s="1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ht="13.5" customHeight="1">
      <c r="A15" s="88">
        <f ca="1">IFERROR(__xludf.DUMMYFUNCTION("""COMPUTED_VALUE"""),14)</f>
        <v>14</v>
      </c>
      <c r="B15" s="2" t="str">
        <f ca="1">IFERROR(__xludf.DUMMYFUNCTION("""COMPUTED_VALUE"""),"محمد مثيب السبيعي")</f>
        <v>محمد مثيب السبيعي</v>
      </c>
      <c r="C15" s="3" t="str">
        <f ca="1">IFERROR(__xludf.DUMMYFUNCTION("""COMPUTED_VALUE"""),"Msubaie")</f>
        <v>Msubaie</v>
      </c>
      <c r="D15" s="8" t="str">
        <f ca="1">IFERROR(__xludf.DUMMYFUNCTION("""COMPUTED_VALUE"""),"داخلي")</f>
        <v>داخلي</v>
      </c>
      <c r="E15" s="8">
        <f ca="1">IFERROR(__xludf.DUMMYFUNCTION("""COMPUTED_VALUE"""),44523)</f>
        <v>44523</v>
      </c>
      <c r="F15" s="9">
        <f ca="1">IFERROR(__xludf.DUMMYFUNCTION("""COMPUTED_VALUE"""),44523)</f>
        <v>44523</v>
      </c>
      <c r="G15" s="4" t="str">
        <f ca="1">IFERROR(__xludf.DUMMYFUNCTION("""COMPUTED_VALUE"""),"عقد توظيف")</f>
        <v>عقد توظيف</v>
      </c>
      <c r="H15" s="89" t="str">
        <f ca="1">IFERROR(__xludf.DUMMYFUNCTION("""COMPUTED_VALUE"""),"ذكر ")</f>
        <v xml:space="preserve">ذكر </v>
      </c>
      <c r="I15" s="4"/>
      <c r="J15" s="6"/>
      <c r="K15" s="6"/>
      <c r="L15" s="6"/>
      <c r="M15" s="4"/>
      <c r="N15" s="6"/>
      <c r="O15" s="8"/>
      <c r="P15" s="12"/>
      <c r="Q15" s="13"/>
      <c r="R15" s="1"/>
      <c r="S15" s="14"/>
      <c r="T15" s="11"/>
      <c r="U15" s="1"/>
      <c r="V15" s="15"/>
      <c r="W15" s="1"/>
      <c r="X15" s="1"/>
      <c r="Y15" s="1"/>
      <c r="Z15" s="1"/>
      <c r="AA15" s="1"/>
      <c r="AB15" s="1"/>
      <c r="AC15" s="1"/>
      <c r="AD15" s="1"/>
      <c r="AE15" s="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13.5" customHeight="1">
      <c r="A16" s="88">
        <f ca="1">IFERROR(__xludf.DUMMYFUNCTION("""COMPUTED_VALUE"""),15)</f>
        <v>15</v>
      </c>
      <c r="B16" s="2" t="str">
        <f ca="1">IFERROR(__xludf.DUMMYFUNCTION("""COMPUTED_VALUE"""),"عبدالله خالد الحميد")</f>
        <v>عبدالله خالد الحميد</v>
      </c>
      <c r="C16" s="3" t="str">
        <f ca="1">IFERROR(__xludf.DUMMYFUNCTION("""COMPUTED_VALUE"""),"Ahumaid")</f>
        <v>Ahumaid</v>
      </c>
      <c r="D16" s="8" t="str">
        <f ca="1">IFERROR(__xludf.DUMMYFUNCTION("""COMPUTED_VALUE"""),"داخلي")</f>
        <v>داخلي</v>
      </c>
      <c r="E16" s="8">
        <f ca="1">IFERROR(__xludf.DUMMYFUNCTION("""COMPUTED_VALUE"""),44523)</f>
        <v>44523</v>
      </c>
      <c r="F16" s="9">
        <f ca="1">IFERROR(__xludf.DUMMYFUNCTION("""COMPUTED_VALUE"""),44524)</f>
        <v>44524</v>
      </c>
      <c r="G16" s="4" t="str">
        <f ca="1">IFERROR(__xludf.DUMMYFUNCTION("""COMPUTED_VALUE"""),"عقد توظيف")</f>
        <v>عقد توظيف</v>
      </c>
      <c r="H16" s="89" t="str">
        <f ca="1">IFERROR(__xludf.DUMMYFUNCTION("""COMPUTED_VALUE"""),"ذكر ")</f>
        <v xml:space="preserve">ذكر </v>
      </c>
      <c r="I16" s="4"/>
      <c r="J16" s="6"/>
      <c r="K16" s="6"/>
      <c r="L16" s="6"/>
      <c r="M16" s="6"/>
      <c r="N16" s="6"/>
      <c r="O16" s="8"/>
      <c r="P16" s="12"/>
      <c r="Q16" s="13"/>
      <c r="R16" s="1"/>
      <c r="S16" s="14"/>
      <c r="T16" s="11"/>
      <c r="U16" s="1"/>
      <c r="V16" s="15"/>
      <c r="W16" s="1"/>
      <c r="X16" s="1"/>
      <c r="Y16" s="1"/>
      <c r="Z16" s="1"/>
      <c r="AA16" s="1"/>
      <c r="AB16" s="1"/>
      <c r="AC16" s="1"/>
      <c r="AD16" s="1"/>
      <c r="AE16" s="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ht="13.5" customHeight="1">
      <c r="A17" s="88">
        <f ca="1">IFERROR(__xludf.DUMMYFUNCTION("""COMPUTED_VALUE"""),16)</f>
        <v>16</v>
      </c>
      <c r="B17" s="2" t="str">
        <f ca="1">IFERROR(__xludf.DUMMYFUNCTION("""COMPUTED_VALUE"""),"العنود علي اليحيى")</f>
        <v>العنود علي اليحيى</v>
      </c>
      <c r="C17" s="3" t="str">
        <f ca="1">IFERROR(__xludf.DUMMYFUNCTION("""COMPUTED_VALUE"""),"An.alyhya1")</f>
        <v>An.alyhya1</v>
      </c>
      <c r="D17" s="8" t="str">
        <f ca="1">IFERROR(__xludf.DUMMYFUNCTION("""COMPUTED_VALUE"""),"داخلي")</f>
        <v>داخلي</v>
      </c>
      <c r="E17" s="8">
        <f ca="1">IFERROR(__xludf.DUMMYFUNCTION("""COMPUTED_VALUE"""),44523)</f>
        <v>44523</v>
      </c>
      <c r="F17" s="9">
        <f ca="1">IFERROR(__xludf.DUMMYFUNCTION("""COMPUTED_VALUE"""),44524)</f>
        <v>44524</v>
      </c>
      <c r="G17" s="4" t="str">
        <f ca="1">IFERROR(__xludf.DUMMYFUNCTION("""COMPUTED_VALUE"""),"عقد توظيف")</f>
        <v>عقد توظيف</v>
      </c>
      <c r="H17" s="89" t="str">
        <f ca="1">IFERROR(__xludf.DUMMYFUNCTION("""COMPUTED_VALUE"""),"أنثى")</f>
        <v>أنثى</v>
      </c>
      <c r="I17" s="4"/>
      <c r="J17" s="6"/>
      <c r="K17" s="10"/>
      <c r="L17" s="10"/>
      <c r="M17" s="6"/>
      <c r="N17" s="6"/>
      <c r="O17" s="8"/>
      <c r="P17" s="12"/>
      <c r="Q17" s="13"/>
      <c r="R17" s="1"/>
      <c r="S17" s="14"/>
      <c r="T17" s="11"/>
      <c r="U17" s="1"/>
      <c r="V17" s="15"/>
      <c r="W17" s="1"/>
      <c r="X17" s="1"/>
      <c r="Y17" s="1"/>
      <c r="Z17" s="1"/>
      <c r="AA17" s="1"/>
      <c r="AB17" s="1"/>
      <c r="AC17" s="1"/>
      <c r="AD17" s="1"/>
      <c r="AE17" s="1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ht="13.5" customHeight="1">
      <c r="A18" s="88">
        <f ca="1">IFERROR(__xludf.DUMMYFUNCTION("""COMPUTED_VALUE"""),17)</f>
        <v>17</v>
      </c>
      <c r="B18" s="20" t="str">
        <f ca="1">IFERROR(__xludf.DUMMYFUNCTION("""COMPUTED_VALUE"""),"دلال مشيلح حسين الفهمي ")</f>
        <v xml:space="preserve">دلال مشيلح حسين الفهمي </v>
      </c>
      <c r="C18" s="3" t="str">
        <f ca="1">IFERROR(__xludf.DUMMYFUNCTION("""COMPUTED_VALUE"""),"Dm.alfehmi")</f>
        <v>Dm.alfehmi</v>
      </c>
      <c r="D18" s="8" t="str">
        <f ca="1">IFERROR(__xludf.DUMMYFUNCTION("""COMPUTED_VALUE"""),"داخلي")</f>
        <v>داخلي</v>
      </c>
      <c r="E18" s="8">
        <f ca="1">IFERROR(__xludf.DUMMYFUNCTION("""COMPUTED_VALUE"""),44523)</f>
        <v>44523</v>
      </c>
      <c r="F18" s="9">
        <f ca="1">IFERROR(__xludf.DUMMYFUNCTION("""COMPUTED_VALUE"""),44531)</f>
        <v>44531</v>
      </c>
      <c r="G18" s="4" t="str">
        <f ca="1">IFERROR(__xludf.DUMMYFUNCTION("""COMPUTED_VALUE"""),"عقد توظيف")</f>
        <v>عقد توظيف</v>
      </c>
      <c r="H18" s="89" t="str">
        <f ca="1">IFERROR(__xludf.DUMMYFUNCTION("""COMPUTED_VALUE"""),"أنثى")</f>
        <v>أنثى</v>
      </c>
      <c r="I18" s="4"/>
      <c r="J18" s="6"/>
      <c r="K18" s="6"/>
      <c r="L18" s="6"/>
      <c r="M18" s="6"/>
      <c r="N18" s="6"/>
      <c r="O18" s="8"/>
      <c r="P18" s="12"/>
      <c r="Q18" s="13"/>
      <c r="R18" s="1"/>
      <c r="S18" s="14"/>
      <c r="T18" s="11"/>
      <c r="U18" s="1"/>
      <c r="V18" s="15"/>
      <c r="W18" s="1"/>
      <c r="X18" s="1"/>
      <c r="Y18" s="1"/>
      <c r="Z18" s="1"/>
      <c r="AA18" s="1"/>
      <c r="AB18" s="1"/>
      <c r="AC18" s="1"/>
      <c r="AD18" s="1"/>
      <c r="AE18" s="1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ht="13.5" customHeight="1">
      <c r="A19" s="88">
        <f ca="1">IFERROR(__xludf.DUMMYFUNCTION("""COMPUTED_VALUE"""),18)</f>
        <v>18</v>
      </c>
      <c r="B19" s="4" t="str">
        <f ca="1">IFERROR(__xludf.DUMMYFUNCTION("""COMPUTED_VALUE"""),"ريم علي ابراهيم القراش ")</f>
        <v xml:space="preserve">ريم علي ابراهيم القراش </v>
      </c>
      <c r="C19" s="3" t="str">
        <f ca="1">IFERROR(__xludf.DUMMYFUNCTION("""COMPUTED_VALUE"""),"R.Algarrash")</f>
        <v>R.Algarrash</v>
      </c>
      <c r="D19" s="21" t="str">
        <f ca="1">IFERROR(__xludf.DUMMYFUNCTION("""COMPUTED_VALUE"""),"داخلي")</f>
        <v>داخلي</v>
      </c>
      <c r="E19" s="8">
        <f ca="1">IFERROR(__xludf.DUMMYFUNCTION("""COMPUTED_VALUE"""),44523)</f>
        <v>44523</v>
      </c>
      <c r="F19" s="9">
        <f ca="1">IFERROR(__xludf.DUMMYFUNCTION("""COMPUTED_VALUE"""),44531)</f>
        <v>44531</v>
      </c>
      <c r="G19" s="4" t="str">
        <f ca="1">IFERROR(__xludf.DUMMYFUNCTION("""COMPUTED_VALUE"""),"عقد توظيف")</f>
        <v>عقد توظيف</v>
      </c>
      <c r="H19" s="89" t="str">
        <f ca="1">IFERROR(__xludf.DUMMYFUNCTION("""COMPUTED_VALUE"""),"أنثى")</f>
        <v>أنثى</v>
      </c>
      <c r="I19" s="4"/>
      <c r="J19" s="6"/>
      <c r="K19" s="6"/>
      <c r="L19" s="6"/>
      <c r="M19" s="6"/>
      <c r="N19" s="6"/>
      <c r="O19" s="8"/>
      <c r="P19" s="12"/>
      <c r="Q19" s="13"/>
      <c r="R19" s="1"/>
      <c r="S19" s="14"/>
      <c r="T19" s="11"/>
      <c r="U19" s="1"/>
      <c r="V19" s="15"/>
      <c r="W19" s="1"/>
      <c r="X19" s="1"/>
      <c r="Y19" s="1"/>
      <c r="Z19" s="1"/>
      <c r="AA19" s="1"/>
      <c r="AB19" s="1"/>
      <c r="AC19" s="1"/>
      <c r="AD19" s="1"/>
      <c r="AE19" s="1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ht="13.5" customHeight="1">
      <c r="A20" s="88">
        <f ca="1">IFERROR(__xludf.DUMMYFUNCTION("""COMPUTED_VALUE"""),19)</f>
        <v>19</v>
      </c>
      <c r="B20" s="2" t="str">
        <f ca="1">IFERROR(__xludf.DUMMYFUNCTION("""COMPUTED_VALUE"""),"عبدالله حمد الخويطر")</f>
        <v>عبدالله حمد الخويطر</v>
      </c>
      <c r="C20" s="3" t="str">
        <f ca="1">IFERROR(__xludf.DUMMYFUNCTION("""COMPUTED_VALUE"""),"Akhwetir")</f>
        <v>Akhwetir</v>
      </c>
      <c r="D20" s="8" t="str">
        <f ca="1">IFERROR(__xludf.DUMMYFUNCTION("""COMPUTED_VALUE"""),"داخلي")</f>
        <v>داخلي</v>
      </c>
      <c r="E20" s="8">
        <f ca="1">IFERROR(__xludf.DUMMYFUNCTION("""COMPUTED_VALUE"""),44523)</f>
        <v>44523</v>
      </c>
      <c r="F20" s="9">
        <f ca="1">IFERROR(__xludf.DUMMYFUNCTION("""COMPUTED_VALUE"""),44523)</f>
        <v>44523</v>
      </c>
      <c r="G20" s="4" t="str">
        <f ca="1">IFERROR(__xludf.DUMMYFUNCTION("""COMPUTED_VALUE"""),"عمل حر")</f>
        <v>عمل حر</v>
      </c>
      <c r="H20" s="89" t="str">
        <f ca="1">IFERROR(__xludf.DUMMYFUNCTION("""COMPUTED_VALUE"""),"ذكر ")</f>
        <v xml:space="preserve">ذكر </v>
      </c>
      <c r="I20" s="4"/>
      <c r="J20" s="6"/>
      <c r="K20" s="6"/>
      <c r="L20" s="6"/>
      <c r="M20" s="6"/>
      <c r="N20" s="6"/>
      <c r="O20" s="8"/>
      <c r="P20" s="12"/>
      <c r="Q20" s="13"/>
      <c r="R20" s="1"/>
      <c r="S20" s="14"/>
      <c r="T20" s="11"/>
      <c r="U20" s="1"/>
      <c r="V20" s="15"/>
      <c r="W20" s="1"/>
      <c r="X20" s="1"/>
      <c r="Y20" s="1"/>
      <c r="Z20" s="1"/>
      <c r="AA20" s="1"/>
      <c r="AB20" s="1"/>
      <c r="AC20" s="1"/>
      <c r="AD20" s="1"/>
      <c r="AE20" s="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ht="13.5" customHeight="1">
      <c r="A21" s="88">
        <f ca="1">IFERROR(__xludf.DUMMYFUNCTION("""COMPUTED_VALUE"""),20)</f>
        <v>20</v>
      </c>
      <c r="B21" s="2" t="str">
        <f ca="1">IFERROR(__xludf.DUMMYFUNCTION("""COMPUTED_VALUE"""),"إعزاز سليمان الصيقل")</f>
        <v>إعزاز سليمان الصيقل</v>
      </c>
      <c r="C21" s="3" t="str">
        <f ca="1">IFERROR(__xludf.DUMMYFUNCTION("""COMPUTED_VALUE"""),"Esayqal")</f>
        <v>Esayqal</v>
      </c>
      <c r="D21" s="8" t="str">
        <f ca="1">IFERROR(__xludf.DUMMYFUNCTION("""COMPUTED_VALUE"""),"داخلي")</f>
        <v>داخلي</v>
      </c>
      <c r="E21" s="8">
        <f ca="1">IFERROR(__xludf.DUMMYFUNCTION("""COMPUTED_VALUE"""),44523)</f>
        <v>44523</v>
      </c>
      <c r="F21" s="9">
        <f ca="1">IFERROR(__xludf.DUMMYFUNCTION("""COMPUTED_VALUE"""),44523)</f>
        <v>44523</v>
      </c>
      <c r="G21" s="4" t="str">
        <f ca="1">IFERROR(__xludf.DUMMYFUNCTION("""COMPUTED_VALUE"""),"عمل حر")</f>
        <v>عمل حر</v>
      </c>
      <c r="H21" s="89" t="str">
        <f ca="1">IFERROR(__xludf.DUMMYFUNCTION("""COMPUTED_VALUE"""),"أنثى")</f>
        <v>أنثى</v>
      </c>
      <c r="I21" s="4"/>
      <c r="J21" s="6"/>
      <c r="K21" s="6"/>
      <c r="L21" s="6"/>
      <c r="M21" s="6"/>
      <c r="N21" s="6"/>
      <c r="O21" s="8"/>
      <c r="P21" s="12"/>
      <c r="Q21" s="13"/>
      <c r="R21" s="1"/>
      <c r="S21" s="14"/>
      <c r="T21" s="11"/>
      <c r="U21" s="1"/>
      <c r="V21" s="15"/>
      <c r="W21" s="1"/>
      <c r="X21" s="1"/>
      <c r="Y21" s="1"/>
      <c r="Z21" s="1"/>
      <c r="AA21" s="1"/>
      <c r="AB21" s="1"/>
      <c r="AC21" s="1"/>
      <c r="AD21" s="1"/>
      <c r="AE21" s="1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ht="13.5" customHeight="1">
      <c r="A22" s="88">
        <f ca="1">IFERROR(__xludf.DUMMYFUNCTION("""COMPUTED_VALUE"""),21)</f>
        <v>21</v>
      </c>
      <c r="B22" s="2" t="str">
        <f ca="1">IFERROR(__xludf.DUMMYFUNCTION("""COMPUTED_VALUE"""),"نورة عبدالله صالح السلامة")</f>
        <v>نورة عبدالله صالح السلامة</v>
      </c>
      <c r="C22" s="3" t="str">
        <f ca="1">IFERROR(__xludf.DUMMYFUNCTION("""COMPUTED_VALUE"""),"Nsalama")</f>
        <v>Nsalama</v>
      </c>
      <c r="D22" s="8" t="str">
        <f ca="1">IFERROR(__xludf.DUMMYFUNCTION("""COMPUTED_VALUE"""),"داخلي")</f>
        <v>داخلي</v>
      </c>
      <c r="E22" s="8">
        <f ca="1">IFERROR(__xludf.DUMMYFUNCTION("""COMPUTED_VALUE"""),44531)</f>
        <v>44531</v>
      </c>
      <c r="F22" s="9">
        <f ca="1">IFERROR(__xludf.DUMMYFUNCTION("""COMPUTED_VALUE"""),44531)</f>
        <v>44531</v>
      </c>
      <c r="G22" s="4" t="str">
        <f ca="1">IFERROR(__xludf.DUMMYFUNCTION("""COMPUTED_VALUE"""),"عقد توظيف")</f>
        <v>عقد توظيف</v>
      </c>
      <c r="H22" s="89" t="str">
        <f ca="1">IFERROR(__xludf.DUMMYFUNCTION("""COMPUTED_VALUE"""),"أنثى")</f>
        <v>أنثى</v>
      </c>
      <c r="I22" s="4"/>
      <c r="J22" s="6"/>
      <c r="K22" s="10"/>
      <c r="L22" s="10"/>
      <c r="M22" s="6"/>
      <c r="N22" s="6"/>
      <c r="O22" s="8"/>
      <c r="P22" s="12"/>
      <c r="Q22" s="13"/>
      <c r="R22" s="1"/>
      <c r="S22" s="14"/>
      <c r="T22" s="11"/>
      <c r="U22" s="1"/>
      <c r="V22" s="15"/>
      <c r="W22" s="1"/>
      <c r="X22" s="1"/>
      <c r="Y22" s="1"/>
      <c r="Z22" s="1"/>
      <c r="AA22" s="1"/>
      <c r="AB22" s="1"/>
      <c r="AC22" s="1"/>
      <c r="AD22" s="1"/>
      <c r="AE22" s="1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ht="13.5" customHeight="1">
      <c r="A23" s="88">
        <f ca="1">IFERROR(__xludf.DUMMYFUNCTION("""COMPUTED_VALUE"""),22)</f>
        <v>22</v>
      </c>
      <c r="B23" s="2" t="str">
        <f ca="1">IFERROR(__xludf.DUMMYFUNCTION("""COMPUTED_VALUE"""),"خوله حمد علي الخويطر")</f>
        <v>خوله حمد علي الخويطر</v>
      </c>
      <c r="C23" s="3" t="str">
        <f ca="1">IFERROR(__xludf.DUMMYFUNCTION("""COMPUTED_VALUE"""),"Kkhouitir")</f>
        <v>Kkhouitir</v>
      </c>
      <c r="D23" s="8" t="str">
        <f ca="1">IFERROR(__xludf.DUMMYFUNCTION("""COMPUTED_VALUE"""),"داخلي")</f>
        <v>داخلي</v>
      </c>
      <c r="E23" s="8">
        <f ca="1">IFERROR(__xludf.DUMMYFUNCTION("""COMPUTED_VALUE"""),44531)</f>
        <v>44531</v>
      </c>
      <c r="F23" s="9">
        <f ca="1">IFERROR(__xludf.DUMMYFUNCTION("""COMPUTED_VALUE"""),44531)</f>
        <v>44531</v>
      </c>
      <c r="G23" s="4" t="str">
        <f ca="1">IFERROR(__xludf.DUMMYFUNCTION("""COMPUTED_VALUE"""),"عقد توظيف")</f>
        <v>عقد توظيف</v>
      </c>
      <c r="H23" s="89" t="str">
        <f ca="1">IFERROR(__xludf.DUMMYFUNCTION("""COMPUTED_VALUE"""),"أنثى")</f>
        <v>أنثى</v>
      </c>
      <c r="I23" s="4"/>
      <c r="J23" s="6"/>
      <c r="K23" s="10"/>
      <c r="L23" s="10"/>
      <c r="M23" s="6"/>
      <c r="N23" s="6"/>
      <c r="O23" s="8"/>
      <c r="P23" s="12"/>
      <c r="Q23" s="13"/>
      <c r="R23" s="1"/>
      <c r="S23" s="14"/>
      <c r="T23" s="11"/>
      <c r="U23" s="1"/>
      <c r="V23" s="15"/>
      <c r="W23" s="1"/>
      <c r="X23" s="1"/>
      <c r="Y23" s="1"/>
      <c r="Z23" s="1"/>
      <c r="AA23" s="1"/>
      <c r="AB23" s="1"/>
      <c r="AC23" s="1"/>
      <c r="AD23" s="1"/>
      <c r="AE23" s="1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ht="13.5" customHeight="1">
      <c r="A24" s="88">
        <f ca="1">IFERROR(__xludf.DUMMYFUNCTION("""COMPUTED_VALUE"""),23)</f>
        <v>23</v>
      </c>
      <c r="B24" s="2" t="str">
        <f ca="1">IFERROR(__xludf.DUMMYFUNCTION("""COMPUTED_VALUE"""),"يزيد عبدالله عايض عسيري")</f>
        <v>يزيد عبدالله عايض عسيري</v>
      </c>
      <c r="C24" s="3" t="str">
        <f ca="1">IFERROR(__xludf.DUMMYFUNCTION("""COMPUTED_VALUE"""),"Yz.alhaj")</f>
        <v>Yz.alhaj</v>
      </c>
      <c r="D24" s="8" t="str">
        <f ca="1">IFERROR(__xludf.DUMMYFUNCTION("""COMPUTED_VALUE"""),"داخلي")</f>
        <v>داخلي</v>
      </c>
      <c r="E24" s="8">
        <f ca="1">IFERROR(__xludf.DUMMYFUNCTION("""COMPUTED_VALUE"""),44531)</f>
        <v>44531</v>
      </c>
      <c r="F24" s="9">
        <f ca="1">IFERROR(__xludf.DUMMYFUNCTION("""COMPUTED_VALUE"""),44531)</f>
        <v>44531</v>
      </c>
      <c r="G24" s="4" t="str">
        <f ca="1">IFERROR(__xludf.DUMMYFUNCTION("""COMPUTED_VALUE"""),"عقد توظيف")</f>
        <v>عقد توظيف</v>
      </c>
      <c r="H24" s="89" t="str">
        <f ca="1">IFERROR(__xludf.DUMMYFUNCTION("""COMPUTED_VALUE"""),"ذكر ")</f>
        <v xml:space="preserve">ذكر </v>
      </c>
      <c r="I24" s="4"/>
      <c r="J24" s="6"/>
      <c r="K24" s="10"/>
      <c r="L24" s="10"/>
      <c r="M24" s="4"/>
      <c r="N24" s="1"/>
      <c r="O24" s="8"/>
      <c r="P24" s="12"/>
      <c r="Q24" s="13"/>
      <c r="R24" s="1"/>
      <c r="S24" s="14"/>
      <c r="T24" s="11"/>
      <c r="U24" s="1"/>
      <c r="V24" s="15"/>
      <c r="W24" s="1"/>
      <c r="X24" s="1"/>
      <c r="Y24" s="1"/>
      <c r="Z24" s="1"/>
      <c r="AA24" s="1"/>
      <c r="AB24" s="1"/>
      <c r="AC24" s="1"/>
      <c r="AD24" s="1"/>
      <c r="AE24" s="1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ht="13.5" customHeight="1">
      <c r="A25" s="88">
        <f ca="1">IFERROR(__xludf.DUMMYFUNCTION("""COMPUTED_VALUE"""),24)</f>
        <v>24</v>
      </c>
      <c r="B25" s="2" t="str">
        <f ca="1">IFERROR(__xludf.DUMMYFUNCTION("""COMPUTED_VALUE"""),"اشواق مبلش المرزوقي البقمي")</f>
        <v>اشواق مبلش المرزوقي البقمي</v>
      </c>
      <c r="C25" s="3" t="str">
        <f ca="1">IFERROR(__xludf.DUMMYFUNCTION("""COMPUTED_VALUE"""),"Ash.almarzoqi")</f>
        <v>Ash.almarzoqi</v>
      </c>
      <c r="D25" s="8" t="str">
        <f ca="1">IFERROR(__xludf.DUMMYFUNCTION("""COMPUTED_VALUE"""),"داخلي")</f>
        <v>داخلي</v>
      </c>
      <c r="E25" s="8">
        <f ca="1">IFERROR(__xludf.DUMMYFUNCTION("""COMPUTED_VALUE"""),44531)</f>
        <v>44531</v>
      </c>
      <c r="F25" s="9">
        <f ca="1">IFERROR(__xludf.DUMMYFUNCTION("""COMPUTED_VALUE"""),44531)</f>
        <v>44531</v>
      </c>
      <c r="G25" s="4" t="str">
        <f ca="1">IFERROR(__xludf.DUMMYFUNCTION("""COMPUTED_VALUE"""),"عقد توظيف")</f>
        <v>عقد توظيف</v>
      </c>
      <c r="H25" s="89" t="str">
        <f ca="1">IFERROR(__xludf.DUMMYFUNCTION("""COMPUTED_VALUE"""),"أنثى")</f>
        <v>أنثى</v>
      </c>
      <c r="I25" s="4"/>
      <c r="J25" s="6"/>
      <c r="K25" s="6"/>
      <c r="L25" s="6"/>
      <c r="M25" s="6"/>
      <c r="N25" s="6"/>
      <c r="O25" s="8"/>
      <c r="P25" s="12"/>
      <c r="Q25" s="13"/>
      <c r="R25" s="1"/>
      <c r="S25" s="14"/>
      <c r="T25" s="11"/>
      <c r="U25" s="1"/>
      <c r="V25" s="15"/>
      <c r="W25" s="1"/>
      <c r="X25" s="1"/>
      <c r="Y25" s="1"/>
      <c r="Z25" s="1"/>
      <c r="AA25" s="1"/>
      <c r="AB25" s="1"/>
      <c r="AC25" s="1"/>
      <c r="AD25" s="1"/>
      <c r="AE25" s="1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13.5" customHeight="1">
      <c r="A26" s="88">
        <f ca="1">IFERROR(__xludf.DUMMYFUNCTION("""COMPUTED_VALUE"""),25)</f>
        <v>25</v>
      </c>
      <c r="B26" s="2" t="str">
        <f ca="1">IFERROR(__xludf.DUMMYFUNCTION("""COMPUTED_VALUE"""),"هياء محمد سعيد عسيري")</f>
        <v>هياء محمد سعيد عسيري</v>
      </c>
      <c r="C26" s="3" t="str">
        <f ca="1">IFERROR(__xludf.DUMMYFUNCTION("""COMPUTED_VALUE"""),"H.aseree1")</f>
        <v>H.aseree1</v>
      </c>
      <c r="D26" s="8" t="str">
        <f ca="1">IFERROR(__xludf.DUMMYFUNCTION("""COMPUTED_VALUE"""),"داخلي")</f>
        <v>داخلي</v>
      </c>
      <c r="E26" s="8">
        <f ca="1">IFERROR(__xludf.DUMMYFUNCTION("""COMPUTED_VALUE"""),44531)</f>
        <v>44531</v>
      </c>
      <c r="F26" s="9">
        <f ca="1">IFERROR(__xludf.DUMMYFUNCTION("""COMPUTED_VALUE"""),44531)</f>
        <v>44531</v>
      </c>
      <c r="G26" s="4" t="str">
        <f ca="1">IFERROR(__xludf.DUMMYFUNCTION("""COMPUTED_VALUE"""),"عقد توظيف")</f>
        <v>عقد توظيف</v>
      </c>
      <c r="H26" s="89" t="str">
        <f ca="1">IFERROR(__xludf.DUMMYFUNCTION("""COMPUTED_VALUE"""),"أنثى")</f>
        <v>أنثى</v>
      </c>
      <c r="I26" s="4"/>
      <c r="J26" s="6"/>
      <c r="K26" s="10"/>
      <c r="L26" s="10"/>
      <c r="M26" s="6"/>
      <c r="N26" s="6"/>
      <c r="O26" s="8"/>
      <c r="P26" s="1"/>
      <c r="Q26" s="13"/>
      <c r="R26" s="1"/>
      <c r="S26" s="22"/>
      <c r="T26" s="1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ht="13.5" customHeight="1">
      <c r="A27" s="88">
        <f ca="1">IFERROR(__xludf.DUMMYFUNCTION("""COMPUTED_VALUE"""),26)</f>
        <v>26</v>
      </c>
      <c r="B27" s="2" t="str">
        <f ca="1">IFERROR(__xludf.DUMMYFUNCTION("""COMPUTED_VALUE"""),"خديجه نائف المطيري")</f>
        <v>خديجه نائف المطيري</v>
      </c>
      <c r="C27" s="3" t="str">
        <f ca="1">IFERROR(__xludf.DUMMYFUNCTION("""COMPUTED_VALUE"""),"Kmutairi")</f>
        <v>Kmutairi</v>
      </c>
      <c r="D27" s="8" t="str">
        <f ca="1">IFERROR(__xludf.DUMMYFUNCTION("""COMPUTED_VALUE"""),"داخلي")</f>
        <v>داخلي</v>
      </c>
      <c r="E27" s="8">
        <f ca="1">IFERROR(__xludf.DUMMYFUNCTION("""COMPUTED_VALUE"""),44531)</f>
        <v>44531</v>
      </c>
      <c r="F27" s="9">
        <f ca="1">IFERROR(__xludf.DUMMYFUNCTION("""COMPUTED_VALUE"""),44531)</f>
        <v>44531</v>
      </c>
      <c r="G27" s="4" t="str">
        <f ca="1">IFERROR(__xludf.DUMMYFUNCTION("""COMPUTED_VALUE"""),"عمل حر")</f>
        <v>عمل حر</v>
      </c>
      <c r="H27" s="89" t="str">
        <f ca="1">IFERROR(__xludf.DUMMYFUNCTION("""COMPUTED_VALUE"""),"أنثى")</f>
        <v>أنثى</v>
      </c>
      <c r="I27" s="4"/>
      <c r="J27" s="6"/>
      <c r="K27" s="10"/>
      <c r="L27" s="10"/>
      <c r="M27" s="6"/>
      <c r="N27" s="6"/>
      <c r="O27" s="8"/>
      <c r="P27" s="12"/>
      <c r="Q27" s="13"/>
      <c r="R27" s="1"/>
      <c r="S27" s="14"/>
      <c r="T27" s="11"/>
      <c r="U27" s="1"/>
      <c r="V27" s="15"/>
      <c r="W27" s="1"/>
      <c r="X27" s="1"/>
      <c r="Y27" s="1"/>
      <c r="Z27" s="1"/>
      <c r="AA27" s="1"/>
      <c r="AB27" s="1"/>
      <c r="AC27" s="1"/>
      <c r="AD27" s="1"/>
      <c r="AE27" s="1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ht="13.5" customHeight="1">
      <c r="A28" s="88">
        <f ca="1">IFERROR(__xludf.DUMMYFUNCTION("""COMPUTED_VALUE"""),27)</f>
        <v>27</v>
      </c>
      <c r="B28" s="20" t="str">
        <f ca="1">IFERROR(__xludf.DUMMYFUNCTION("""COMPUTED_VALUE"""),"نوف صقر نايف المطيري")</f>
        <v>نوف صقر نايف المطيري</v>
      </c>
      <c r="C28" s="3" t="str">
        <f ca="1">IFERROR(__xludf.DUMMYFUNCTION("""COMPUTED_VALUE"""),"Nmutairi")</f>
        <v>Nmutairi</v>
      </c>
      <c r="D28" s="8" t="str">
        <f ca="1">IFERROR(__xludf.DUMMYFUNCTION("""COMPUTED_VALUE"""),"داخلي")</f>
        <v>داخلي</v>
      </c>
      <c r="E28" s="8">
        <f ca="1">IFERROR(__xludf.DUMMYFUNCTION("""COMPUTED_VALUE"""),44537)</f>
        <v>44537</v>
      </c>
      <c r="F28" s="9">
        <f ca="1">IFERROR(__xludf.DUMMYFUNCTION("""COMPUTED_VALUE"""),44537)</f>
        <v>44537</v>
      </c>
      <c r="G28" s="4" t="str">
        <f ca="1">IFERROR(__xludf.DUMMYFUNCTION("""COMPUTED_VALUE"""),"عقد توظيف")</f>
        <v>عقد توظيف</v>
      </c>
      <c r="H28" s="89" t="str">
        <f ca="1">IFERROR(__xludf.DUMMYFUNCTION("""COMPUTED_VALUE"""),"أنثى")</f>
        <v>أنثى</v>
      </c>
      <c r="I28" s="4"/>
      <c r="J28" s="6"/>
      <c r="K28" s="6"/>
      <c r="L28" s="6"/>
      <c r="M28" s="6"/>
      <c r="N28" s="6"/>
      <c r="O28" s="8"/>
      <c r="P28" s="12"/>
      <c r="Q28" s="13"/>
      <c r="R28" s="1"/>
      <c r="S28" s="14"/>
      <c r="T28" s="1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ht="13.5" customHeight="1">
      <c r="A29" s="88">
        <f ca="1">IFERROR(__xludf.DUMMYFUNCTION("""COMPUTED_VALUE"""),28)</f>
        <v>28</v>
      </c>
      <c r="B29" s="17" t="str">
        <f ca="1">IFERROR(__xludf.DUMMYFUNCTION("""COMPUTED_VALUE"""),"نوف محمد صالح القرعاوي")</f>
        <v>نوف محمد صالح القرعاوي</v>
      </c>
      <c r="C29" s="3" t="str">
        <f ca="1">IFERROR(__xludf.DUMMYFUNCTION("""COMPUTED_VALUE"""),"Nqarawi")</f>
        <v>Nqarawi</v>
      </c>
      <c r="D29" s="8" t="str">
        <f ca="1">IFERROR(__xludf.DUMMYFUNCTION("""COMPUTED_VALUE"""),"داخلي")</f>
        <v>داخلي</v>
      </c>
      <c r="E29" s="8">
        <f ca="1">IFERROR(__xludf.DUMMYFUNCTION("""COMPUTED_VALUE"""),44537)</f>
        <v>44537</v>
      </c>
      <c r="F29" s="9">
        <f ca="1">IFERROR(__xludf.DUMMYFUNCTION("""COMPUTED_VALUE"""),44537)</f>
        <v>44537</v>
      </c>
      <c r="G29" s="4" t="str">
        <f ca="1">IFERROR(__xludf.DUMMYFUNCTION("""COMPUTED_VALUE"""),"عقد توظيف")</f>
        <v>عقد توظيف</v>
      </c>
      <c r="H29" s="89" t="str">
        <f ca="1">IFERROR(__xludf.DUMMYFUNCTION("""COMPUTED_VALUE"""),"أنثى")</f>
        <v>أنثى</v>
      </c>
      <c r="I29" s="4"/>
      <c r="J29" s="6"/>
      <c r="K29" s="10"/>
      <c r="L29" s="10"/>
      <c r="M29" s="6"/>
      <c r="N29" s="6"/>
      <c r="O29" s="8"/>
      <c r="P29" s="12"/>
      <c r="Q29" s="13"/>
      <c r="R29" s="1"/>
      <c r="S29" s="14"/>
      <c r="T29" s="1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ht="13.5" customHeight="1">
      <c r="A30" s="88">
        <f ca="1">IFERROR(__xludf.DUMMYFUNCTION("""COMPUTED_VALUE"""),29)</f>
        <v>29</v>
      </c>
      <c r="B30" s="17" t="str">
        <f ca="1">IFERROR(__xludf.DUMMYFUNCTION("""COMPUTED_VALUE"""),"منيرة عبدالعزيز سعد بن شبر")</f>
        <v>منيرة عبدالعزيز سعد بن شبر</v>
      </c>
      <c r="C30" s="3" t="str">
        <f ca="1">IFERROR(__xludf.DUMMYFUNCTION("""COMPUTED_VALUE"""),"Mabdulaziz")</f>
        <v>Mabdulaziz</v>
      </c>
      <c r="D30" s="8" t="str">
        <f ca="1">IFERROR(__xludf.DUMMYFUNCTION("""COMPUTED_VALUE"""),"داخلي")</f>
        <v>داخلي</v>
      </c>
      <c r="E30" s="8">
        <f ca="1">IFERROR(__xludf.DUMMYFUNCTION("""COMPUTED_VALUE"""),44537)</f>
        <v>44537</v>
      </c>
      <c r="F30" s="9">
        <f ca="1">IFERROR(__xludf.DUMMYFUNCTION("""COMPUTED_VALUE"""),44537)</f>
        <v>44537</v>
      </c>
      <c r="G30" s="4" t="str">
        <f ca="1">IFERROR(__xludf.DUMMYFUNCTION("""COMPUTED_VALUE"""),"عقد توظيف")</f>
        <v>عقد توظيف</v>
      </c>
      <c r="H30" s="89" t="str">
        <f ca="1">IFERROR(__xludf.DUMMYFUNCTION("""COMPUTED_VALUE"""),"أنثى")</f>
        <v>أنثى</v>
      </c>
      <c r="I30" s="4"/>
      <c r="J30" s="6"/>
      <c r="K30" s="10"/>
      <c r="L30" s="10"/>
      <c r="M30" s="6"/>
      <c r="N30" s="6"/>
      <c r="O30" s="8"/>
      <c r="P30" s="12"/>
      <c r="Q30" s="13"/>
      <c r="R30" s="1"/>
      <c r="S30" s="14"/>
      <c r="T30" s="1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ht="13.5" customHeight="1">
      <c r="A31" s="88">
        <f ca="1">IFERROR(__xludf.DUMMYFUNCTION("""COMPUTED_VALUE"""),30)</f>
        <v>30</v>
      </c>
      <c r="B31" s="2" t="str">
        <f ca="1">IFERROR(__xludf.DUMMYFUNCTION("""COMPUTED_VALUE"""),"هدى عبدالرحمن سعد العمار")</f>
        <v>هدى عبدالرحمن سعد العمار</v>
      </c>
      <c r="C31" s="3" t="str">
        <f ca="1">IFERROR(__xludf.DUMMYFUNCTION("""COMPUTED_VALUE"""),"Hammar")</f>
        <v>Hammar</v>
      </c>
      <c r="D31" s="8" t="str">
        <f ca="1">IFERROR(__xludf.DUMMYFUNCTION("""COMPUTED_VALUE"""),"داخلي")</f>
        <v>داخلي</v>
      </c>
      <c r="E31" s="8">
        <f ca="1">IFERROR(__xludf.DUMMYFUNCTION("""COMPUTED_VALUE"""),44537)</f>
        <v>44537</v>
      </c>
      <c r="F31" s="9">
        <f ca="1">IFERROR(__xludf.DUMMYFUNCTION("""COMPUTED_VALUE"""),44537)</f>
        <v>44537</v>
      </c>
      <c r="G31" s="4" t="str">
        <f ca="1">IFERROR(__xludf.DUMMYFUNCTION("""COMPUTED_VALUE"""),"عقد توظيف")</f>
        <v>عقد توظيف</v>
      </c>
      <c r="H31" s="89" t="str">
        <f ca="1">IFERROR(__xludf.DUMMYFUNCTION("""COMPUTED_VALUE"""),"أنثى")</f>
        <v>أنثى</v>
      </c>
      <c r="I31" s="4"/>
      <c r="J31" s="6"/>
      <c r="K31" s="10"/>
      <c r="L31" s="10"/>
      <c r="M31" s="1"/>
      <c r="N31" s="1"/>
      <c r="O31" s="8"/>
      <c r="P31" s="12"/>
      <c r="Q31" s="13"/>
      <c r="R31" s="1"/>
      <c r="S31" s="14"/>
      <c r="T31" s="1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ht="13.5" customHeight="1">
      <c r="A32" s="88">
        <f ca="1">IFERROR(__xludf.DUMMYFUNCTION("""COMPUTED_VALUE"""),31)</f>
        <v>31</v>
      </c>
      <c r="B32" s="19" t="str">
        <f ca="1">IFERROR(__xludf.DUMMYFUNCTION("""COMPUTED_VALUE"""),"منيرة فهد محمد السيف")</f>
        <v>منيرة فهد محمد السيف</v>
      </c>
      <c r="C32" s="3" t="str">
        <f ca="1">IFERROR(__xludf.DUMMYFUNCTION("""COMPUTED_VALUE"""),"Mf.alsaif")</f>
        <v>Mf.alsaif</v>
      </c>
      <c r="D32" s="8" t="str">
        <f ca="1">IFERROR(__xludf.DUMMYFUNCTION("""COMPUTED_VALUE"""),"داخلي")</f>
        <v>داخلي</v>
      </c>
      <c r="E32" s="8">
        <f ca="1">IFERROR(__xludf.DUMMYFUNCTION("""COMPUTED_VALUE"""),44537)</f>
        <v>44537</v>
      </c>
      <c r="F32" s="9">
        <f ca="1">IFERROR(__xludf.DUMMYFUNCTION("""COMPUTED_VALUE"""),44537)</f>
        <v>44537</v>
      </c>
      <c r="G32" s="4" t="str">
        <f ca="1">IFERROR(__xludf.DUMMYFUNCTION("""COMPUTED_VALUE"""),"عقد توظيف")</f>
        <v>عقد توظيف</v>
      </c>
      <c r="H32" s="89" t="str">
        <f ca="1">IFERROR(__xludf.DUMMYFUNCTION("""COMPUTED_VALUE"""),"أنثى")</f>
        <v>أنثى</v>
      </c>
      <c r="I32" s="4"/>
      <c r="J32" s="6"/>
      <c r="K32" s="10"/>
      <c r="L32" s="10"/>
      <c r="M32" s="1"/>
      <c r="N32" s="1"/>
      <c r="O32" s="8"/>
      <c r="P32" s="12"/>
      <c r="Q32" s="13"/>
      <c r="R32" s="1"/>
      <c r="S32" s="14"/>
      <c r="T32" s="1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ht="13.5" customHeight="1">
      <c r="A33" s="88">
        <f ca="1">IFERROR(__xludf.DUMMYFUNCTION("""COMPUTED_VALUE"""),32)</f>
        <v>32</v>
      </c>
      <c r="B33" s="2" t="str">
        <f ca="1">IFERROR(__xludf.DUMMYFUNCTION("""COMPUTED_VALUE"""),"عبدالمحسن عامر عيسى العومي")</f>
        <v>عبدالمحسن عامر عيسى العومي</v>
      </c>
      <c r="C33" s="3" t="str">
        <f ca="1">IFERROR(__xludf.DUMMYFUNCTION("""COMPUTED_VALUE"""),"Aoumi")</f>
        <v>Aoumi</v>
      </c>
      <c r="D33" s="8" t="str">
        <f ca="1">IFERROR(__xludf.DUMMYFUNCTION("""COMPUTED_VALUE"""),"داخلي")</f>
        <v>داخلي</v>
      </c>
      <c r="E33" s="8">
        <f ca="1">IFERROR(__xludf.DUMMYFUNCTION("""COMPUTED_VALUE"""),44537)</f>
        <v>44537</v>
      </c>
      <c r="F33" s="9">
        <f ca="1">IFERROR(__xludf.DUMMYFUNCTION("""COMPUTED_VALUE"""),44537)</f>
        <v>44537</v>
      </c>
      <c r="G33" s="4" t="str">
        <f ca="1">IFERROR(__xludf.DUMMYFUNCTION("""COMPUTED_VALUE"""),"عقد توظيف")</f>
        <v>عقد توظيف</v>
      </c>
      <c r="H33" s="89" t="str">
        <f ca="1">IFERROR(__xludf.DUMMYFUNCTION("""COMPUTED_VALUE"""),"ذكر ")</f>
        <v xml:space="preserve">ذكر </v>
      </c>
      <c r="I33" s="4"/>
      <c r="J33" s="6"/>
      <c r="K33" s="10"/>
      <c r="L33" s="10"/>
      <c r="M33" s="1"/>
      <c r="N33" s="1"/>
      <c r="O33" s="8"/>
      <c r="P33" s="12"/>
      <c r="Q33" s="13"/>
      <c r="R33" s="1"/>
      <c r="S33" s="14"/>
      <c r="T33" s="1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ht="13.5" customHeight="1">
      <c r="A34" s="88">
        <f ca="1">IFERROR(__xludf.DUMMYFUNCTION("""COMPUTED_VALUE"""),33)</f>
        <v>33</v>
      </c>
      <c r="B34" s="2" t="str">
        <f ca="1">IFERROR(__xludf.DUMMYFUNCTION("""COMPUTED_VALUE"""),"فتون شايع علي الشايع")</f>
        <v>فتون شايع علي الشايع</v>
      </c>
      <c r="C34" s="3" t="str">
        <f ca="1">IFERROR(__xludf.DUMMYFUNCTION("""COMPUTED_VALUE"""),"Fshayea")</f>
        <v>Fshayea</v>
      </c>
      <c r="D34" s="8" t="str">
        <f ca="1">IFERROR(__xludf.DUMMYFUNCTION("""COMPUTED_VALUE"""),"داخلي")</f>
        <v>داخلي</v>
      </c>
      <c r="E34" s="8">
        <f ca="1">IFERROR(__xludf.DUMMYFUNCTION("""COMPUTED_VALUE"""),44537)</f>
        <v>44537</v>
      </c>
      <c r="F34" s="9">
        <f ca="1">IFERROR(__xludf.DUMMYFUNCTION("""COMPUTED_VALUE"""),44537)</f>
        <v>44537</v>
      </c>
      <c r="G34" s="4" t="str">
        <f ca="1">IFERROR(__xludf.DUMMYFUNCTION("""COMPUTED_VALUE"""),"عقد توظيف")</f>
        <v>عقد توظيف</v>
      </c>
      <c r="H34" s="89" t="str">
        <f ca="1">IFERROR(__xludf.DUMMYFUNCTION("""COMPUTED_VALUE"""),"أنثى")</f>
        <v>أنثى</v>
      </c>
      <c r="I34" s="4"/>
      <c r="J34" s="6"/>
      <c r="K34" s="10"/>
      <c r="L34" s="10"/>
      <c r="M34" s="1"/>
      <c r="N34" s="1"/>
      <c r="O34" s="8"/>
      <c r="P34" s="12"/>
      <c r="Q34" s="13"/>
      <c r="R34" s="1"/>
      <c r="S34" s="14"/>
      <c r="T34" s="1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ht="13.5" customHeight="1">
      <c r="A35" s="88">
        <f ca="1">IFERROR(__xludf.DUMMYFUNCTION("""COMPUTED_VALUE"""),34)</f>
        <v>34</v>
      </c>
      <c r="B35" s="2" t="str">
        <f ca="1">IFERROR(__xludf.DUMMYFUNCTION("""COMPUTED_VALUE"""),"محمد عبدالرحمن عبدالله الراجح")</f>
        <v>محمد عبدالرحمن عبدالله الراجح</v>
      </c>
      <c r="C35" s="3" t="str">
        <f ca="1">IFERROR(__xludf.DUMMYFUNCTION("""COMPUTED_VALUE"""),"Mrajeh")</f>
        <v>Mrajeh</v>
      </c>
      <c r="D35" s="8" t="str">
        <f ca="1">IFERROR(__xludf.DUMMYFUNCTION("""COMPUTED_VALUE"""),"داخلي")</f>
        <v>داخلي</v>
      </c>
      <c r="E35" s="8">
        <f ca="1">IFERROR(__xludf.DUMMYFUNCTION("""COMPUTED_VALUE"""),44537)</f>
        <v>44537</v>
      </c>
      <c r="F35" s="9">
        <f ca="1">IFERROR(__xludf.DUMMYFUNCTION("""COMPUTED_VALUE"""),44537)</f>
        <v>44537</v>
      </c>
      <c r="G35" s="4" t="str">
        <f ca="1">IFERROR(__xludf.DUMMYFUNCTION("""COMPUTED_VALUE"""),"عقد توظيف")</f>
        <v>عقد توظيف</v>
      </c>
      <c r="H35" s="89" t="str">
        <f ca="1">IFERROR(__xludf.DUMMYFUNCTION("""COMPUTED_VALUE"""),"ذكر ")</f>
        <v xml:space="preserve">ذكر </v>
      </c>
      <c r="I35" s="4"/>
      <c r="J35" s="6"/>
      <c r="K35" s="10"/>
      <c r="L35" s="10"/>
      <c r="M35" s="1"/>
      <c r="N35" s="1"/>
      <c r="O35" s="8"/>
      <c r="P35" s="12"/>
      <c r="Q35" s="13"/>
      <c r="R35" s="1"/>
      <c r="S35" s="14"/>
      <c r="T35" s="1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13.5" customHeight="1">
      <c r="A36" s="88">
        <f ca="1">IFERROR(__xludf.DUMMYFUNCTION("""COMPUTED_VALUE"""),35)</f>
        <v>35</v>
      </c>
      <c r="B36" s="2" t="str">
        <f ca="1">IFERROR(__xludf.DUMMYFUNCTION("""COMPUTED_VALUE"""),"نهى محمد صالح القرعاوي")</f>
        <v>نهى محمد صالح القرعاوي</v>
      </c>
      <c r="C36" s="3" t="str">
        <f ca="1">IFERROR(__xludf.DUMMYFUNCTION("""COMPUTED_VALUE"""),"Nuqarawi")</f>
        <v>Nuqarawi</v>
      </c>
      <c r="D36" s="8" t="str">
        <f ca="1">IFERROR(__xludf.DUMMYFUNCTION("""COMPUTED_VALUE"""),"داخلي")</f>
        <v>داخلي</v>
      </c>
      <c r="E36" s="8">
        <f ca="1">IFERROR(__xludf.DUMMYFUNCTION("""COMPUTED_VALUE"""),44537)</f>
        <v>44537</v>
      </c>
      <c r="F36" s="9">
        <f ca="1">IFERROR(__xludf.DUMMYFUNCTION("""COMPUTED_VALUE"""),44537)</f>
        <v>44537</v>
      </c>
      <c r="G36" s="4" t="str">
        <f ca="1">IFERROR(__xludf.DUMMYFUNCTION("""COMPUTED_VALUE"""),"عقد توظيف")</f>
        <v>عقد توظيف</v>
      </c>
      <c r="H36" s="89" t="str">
        <f ca="1">IFERROR(__xludf.DUMMYFUNCTION("""COMPUTED_VALUE"""),"أنثى")</f>
        <v>أنثى</v>
      </c>
      <c r="I36" s="4"/>
      <c r="J36" s="6"/>
      <c r="K36" s="10"/>
      <c r="L36" s="10"/>
      <c r="M36" s="1"/>
      <c r="N36" s="1"/>
      <c r="O36" s="8"/>
      <c r="P36" s="12"/>
      <c r="Q36" s="13"/>
      <c r="R36" s="1"/>
      <c r="S36" s="14"/>
      <c r="T36" s="1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13.5" customHeight="1">
      <c r="A37" s="88">
        <f ca="1">IFERROR(__xludf.DUMMYFUNCTION("""COMPUTED_VALUE"""),36)</f>
        <v>36</v>
      </c>
      <c r="B37" s="2" t="str">
        <f ca="1">IFERROR(__xludf.DUMMYFUNCTION("""COMPUTED_VALUE"""),"نورا إبراهيم أحمد الذييب")</f>
        <v>نورا إبراهيم أحمد الذييب</v>
      </c>
      <c r="C37" s="3" t="str">
        <f ca="1">IFERROR(__xludf.DUMMYFUNCTION("""COMPUTED_VALUE"""),"Nialtheeb")</f>
        <v>Nialtheeb</v>
      </c>
      <c r="D37" s="8" t="str">
        <f ca="1">IFERROR(__xludf.DUMMYFUNCTION("""COMPUTED_VALUE"""),"داخلي")</f>
        <v>داخلي</v>
      </c>
      <c r="E37" s="8">
        <f ca="1">IFERROR(__xludf.DUMMYFUNCTION("""COMPUTED_VALUE"""),44537)</f>
        <v>44537</v>
      </c>
      <c r="F37" s="9">
        <f ca="1">IFERROR(__xludf.DUMMYFUNCTION("""COMPUTED_VALUE"""),44542)</f>
        <v>44542</v>
      </c>
      <c r="G37" s="4" t="str">
        <f ca="1">IFERROR(__xludf.DUMMYFUNCTION("""COMPUTED_VALUE"""),"عمل حر")</f>
        <v>عمل حر</v>
      </c>
      <c r="H37" s="89" t="str">
        <f ca="1">IFERROR(__xludf.DUMMYFUNCTION("""COMPUTED_VALUE"""),"أنثى")</f>
        <v>أنثى</v>
      </c>
      <c r="I37" s="4"/>
      <c r="J37" s="6"/>
      <c r="K37" s="10"/>
      <c r="L37" s="10"/>
      <c r="M37" s="4"/>
      <c r="N37" s="1"/>
      <c r="O37" s="8"/>
      <c r="P37" s="12"/>
      <c r="Q37" s="13"/>
      <c r="R37" s="1"/>
      <c r="S37" s="14"/>
      <c r="T37" s="1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3.5" customHeight="1">
      <c r="A38" s="88">
        <f ca="1">IFERROR(__xludf.DUMMYFUNCTION("""COMPUTED_VALUE"""),37)</f>
        <v>37</v>
      </c>
      <c r="B38" s="2" t="str">
        <f ca="1">IFERROR(__xludf.DUMMYFUNCTION("""COMPUTED_VALUE"""),"هاجر علي سعيد العمري")</f>
        <v>هاجر علي سعيد العمري</v>
      </c>
      <c r="C38" s="3" t="str">
        <f ca="1">IFERROR(__xludf.DUMMYFUNCTION("""COMPUTED_VALUE"""),"Hamri")</f>
        <v>Hamri</v>
      </c>
      <c r="D38" s="8" t="str">
        <f ca="1">IFERROR(__xludf.DUMMYFUNCTION("""COMPUTED_VALUE"""),"داخلي")</f>
        <v>داخلي</v>
      </c>
      <c r="E38" s="8">
        <f ca="1">IFERROR(__xludf.DUMMYFUNCTION("""COMPUTED_VALUE"""),44537)</f>
        <v>44537</v>
      </c>
      <c r="F38" s="9">
        <f ca="1">IFERROR(__xludf.DUMMYFUNCTION("""COMPUTED_VALUE"""),44537)</f>
        <v>44537</v>
      </c>
      <c r="G38" s="4" t="str">
        <f ca="1">IFERROR(__xludf.DUMMYFUNCTION("""COMPUTED_VALUE"""),"عمل حر")</f>
        <v>عمل حر</v>
      </c>
      <c r="H38" s="89" t="str">
        <f ca="1">IFERROR(__xludf.DUMMYFUNCTION("""COMPUTED_VALUE"""),"أنثى")</f>
        <v>أنثى</v>
      </c>
      <c r="I38" s="4"/>
      <c r="J38" s="6"/>
      <c r="K38" s="10"/>
      <c r="L38" s="10"/>
      <c r="M38" s="1"/>
      <c r="N38" s="1"/>
      <c r="O38" s="8"/>
      <c r="P38" s="12"/>
      <c r="Q38" s="13"/>
      <c r="R38" s="1"/>
      <c r="S38" s="14"/>
      <c r="T38" s="1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3.5" customHeight="1">
      <c r="A39" s="88">
        <f ca="1">IFERROR(__xludf.DUMMYFUNCTION("""COMPUTED_VALUE"""),38)</f>
        <v>38</v>
      </c>
      <c r="B39" s="2" t="str">
        <f ca="1">IFERROR(__xludf.DUMMYFUNCTION("""COMPUTED_VALUE"""),"عفاف أسامه مصطفى ميره")</f>
        <v>عفاف أسامه مصطفى ميره</v>
      </c>
      <c r="C39" s="3" t="str">
        <f ca="1">IFERROR(__xludf.DUMMYFUNCTION("""COMPUTED_VALUE"""),"Afmera")</f>
        <v>Afmera</v>
      </c>
      <c r="D39" s="8" t="str">
        <f ca="1">IFERROR(__xludf.DUMMYFUNCTION("""COMPUTED_VALUE"""),"داخلي")</f>
        <v>داخلي</v>
      </c>
      <c r="E39" s="8">
        <f ca="1">IFERROR(__xludf.DUMMYFUNCTION("""COMPUTED_VALUE"""),44537)</f>
        <v>44537</v>
      </c>
      <c r="F39" s="9">
        <f ca="1">IFERROR(__xludf.DUMMYFUNCTION("""COMPUTED_VALUE"""),44537)</f>
        <v>44537</v>
      </c>
      <c r="G39" s="4" t="str">
        <f ca="1">IFERROR(__xludf.DUMMYFUNCTION("""COMPUTED_VALUE"""),"عمل حر")</f>
        <v>عمل حر</v>
      </c>
      <c r="H39" s="89" t="str">
        <f ca="1">IFERROR(__xludf.DUMMYFUNCTION("""COMPUTED_VALUE"""),"أنثى")</f>
        <v>أنثى</v>
      </c>
      <c r="I39" s="4"/>
      <c r="J39" s="6"/>
      <c r="K39" s="10"/>
      <c r="L39" s="10"/>
      <c r="M39" s="1"/>
      <c r="N39" s="1"/>
      <c r="O39" s="8"/>
      <c r="P39" s="12"/>
      <c r="Q39" s="13"/>
      <c r="R39" s="1"/>
      <c r="S39" s="14"/>
      <c r="T39" s="1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3.5" customHeight="1">
      <c r="A40" s="88">
        <f ca="1">IFERROR(__xludf.DUMMYFUNCTION("""COMPUTED_VALUE"""),39)</f>
        <v>39</v>
      </c>
      <c r="B40" s="18" t="str">
        <f ca="1">IFERROR(__xludf.DUMMYFUNCTION("""COMPUTED_VALUE"""),"عبدالعزيز سعود عبدالعزيز المقبل")</f>
        <v>عبدالعزيز سعود عبدالعزيز المقبل</v>
      </c>
      <c r="C40" s="3" t="str">
        <f ca="1">IFERROR(__xludf.DUMMYFUNCTION("""COMPUTED_VALUE"""),"Amuqbil-dis")</f>
        <v>Amuqbil-dis</v>
      </c>
      <c r="D40" s="8" t="str">
        <f ca="1">IFERROR(__xludf.DUMMYFUNCTION("""COMPUTED_VALUE"""),"داخلي")</f>
        <v>داخلي</v>
      </c>
      <c r="E40" s="8">
        <f ca="1">IFERROR(__xludf.DUMMYFUNCTION("""COMPUTED_VALUE"""),44539)</f>
        <v>44539</v>
      </c>
      <c r="F40" s="9">
        <f ca="1">IFERROR(__xludf.DUMMYFUNCTION("""COMPUTED_VALUE"""),44539)</f>
        <v>44539</v>
      </c>
      <c r="G40" s="4" t="str">
        <f ca="1">IFERROR(__xludf.DUMMYFUNCTION("""COMPUTED_VALUE"""),"عقد توظيف")</f>
        <v>عقد توظيف</v>
      </c>
      <c r="H40" s="89" t="str">
        <f ca="1">IFERROR(__xludf.DUMMYFUNCTION("""COMPUTED_VALUE"""),"ذكر ")</f>
        <v xml:space="preserve">ذكر </v>
      </c>
      <c r="I40" s="4"/>
      <c r="J40" s="6"/>
      <c r="K40" s="10"/>
      <c r="L40" s="10"/>
      <c r="M40" s="1"/>
      <c r="N40" s="1"/>
      <c r="O40" s="8"/>
      <c r="P40" s="12"/>
      <c r="Q40" s="13"/>
      <c r="R40" s="1"/>
      <c r="S40" s="14"/>
      <c r="T40" s="1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3.5" customHeight="1">
      <c r="A41" s="88">
        <f ca="1">IFERROR(__xludf.DUMMYFUNCTION("""COMPUTED_VALUE"""),40)</f>
        <v>40</v>
      </c>
      <c r="B41" s="2" t="str">
        <f ca="1">IFERROR(__xludf.DUMMYFUNCTION("""COMPUTED_VALUE"""),"بتال يوسف عبدالله البتال")</f>
        <v>بتال يوسف عبدالله البتال</v>
      </c>
      <c r="C41" s="3" t="str">
        <f ca="1">IFERROR(__xludf.DUMMYFUNCTION("""COMPUTED_VALUE"""),"Bbattal")</f>
        <v>Bbattal</v>
      </c>
      <c r="D41" s="8" t="str">
        <f ca="1">IFERROR(__xludf.DUMMYFUNCTION("""COMPUTED_VALUE"""),"داخلي")</f>
        <v>داخلي</v>
      </c>
      <c r="E41" s="8">
        <f ca="1">IFERROR(__xludf.DUMMYFUNCTION("""COMPUTED_VALUE"""),44542)</f>
        <v>44542</v>
      </c>
      <c r="F41" s="9">
        <f ca="1">IFERROR(__xludf.DUMMYFUNCTION("""COMPUTED_VALUE"""),44542)</f>
        <v>44542</v>
      </c>
      <c r="G41" s="4" t="str">
        <f ca="1">IFERROR(__xludf.DUMMYFUNCTION("""COMPUTED_VALUE"""),"عقد توظيف")</f>
        <v>عقد توظيف</v>
      </c>
      <c r="H41" s="89" t="str">
        <f ca="1">IFERROR(__xludf.DUMMYFUNCTION("""COMPUTED_VALUE"""),"ذكر ")</f>
        <v xml:space="preserve">ذكر </v>
      </c>
      <c r="I41" s="4"/>
      <c r="J41" s="6"/>
      <c r="K41" s="10"/>
      <c r="L41" s="10"/>
      <c r="M41" s="4"/>
      <c r="N41" s="11"/>
      <c r="O41" s="8"/>
      <c r="P41" s="12"/>
      <c r="Q41" s="13"/>
      <c r="R41" s="1"/>
      <c r="S41" s="14"/>
      <c r="T41" s="1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3.5" customHeight="1">
      <c r="A42" s="88">
        <f ca="1">IFERROR(__xludf.DUMMYFUNCTION("""COMPUTED_VALUE"""),41)</f>
        <v>41</v>
      </c>
      <c r="B42" s="17" t="str">
        <f ca="1">IFERROR(__xludf.DUMMYFUNCTION("""COMPUTED_VALUE"""),"حنان سعد محمد بن حزيم")</f>
        <v>حنان سعد محمد بن حزيم</v>
      </c>
      <c r="C42" s="3" t="str">
        <f ca="1">IFERROR(__xludf.DUMMYFUNCTION("""COMPUTED_VALUE"""),"Hhuziem")</f>
        <v>Hhuziem</v>
      </c>
      <c r="D42" s="8" t="str">
        <f ca="1">IFERROR(__xludf.DUMMYFUNCTION("""COMPUTED_VALUE"""),"داخلي")</f>
        <v>داخلي</v>
      </c>
      <c r="E42" s="8">
        <f ca="1">IFERROR(__xludf.DUMMYFUNCTION("""COMPUTED_VALUE"""),44542)</f>
        <v>44542</v>
      </c>
      <c r="F42" s="9">
        <f ca="1">IFERROR(__xludf.DUMMYFUNCTION("""COMPUTED_VALUE"""),44542)</f>
        <v>44542</v>
      </c>
      <c r="G42" s="4" t="str">
        <f ca="1">IFERROR(__xludf.DUMMYFUNCTION("""COMPUTED_VALUE"""),"عقد توظيف")</f>
        <v>عقد توظيف</v>
      </c>
      <c r="H42" s="89" t="str">
        <f ca="1">IFERROR(__xludf.DUMMYFUNCTION("""COMPUTED_VALUE"""),"أنثى")</f>
        <v>أنثى</v>
      </c>
      <c r="I42" s="4"/>
      <c r="J42" s="6"/>
      <c r="K42" s="10"/>
      <c r="L42" s="10"/>
      <c r="M42" s="1"/>
      <c r="N42" s="1"/>
      <c r="O42" s="8"/>
      <c r="P42" s="12"/>
      <c r="Q42" s="13"/>
      <c r="R42" s="1"/>
      <c r="S42" s="14"/>
      <c r="T42" s="1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ht="13.5" customHeight="1">
      <c r="A43" s="88">
        <f ca="1">IFERROR(__xludf.DUMMYFUNCTION("""COMPUTED_VALUE"""),42)</f>
        <v>42</v>
      </c>
      <c r="B43" s="17" t="str">
        <f ca="1">IFERROR(__xludf.DUMMYFUNCTION("""COMPUTED_VALUE"""),"عبدالعزيز محمد عبدالله بن داود")</f>
        <v>عبدالعزيز محمد عبدالله بن داود</v>
      </c>
      <c r="C43" s="3" t="str">
        <f ca="1">IFERROR(__xludf.DUMMYFUNCTION("""COMPUTED_VALUE"""),"Adawod")</f>
        <v>Adawod</v>
      </c>
      <c r="D43" s="8" t="str">
        <f ca="1">IFERROR(__xludf.DUMMYFUNCTION("""COMPUTED_VALUE"""),"داخلي")</f>
        <v>داخلي</v>
      </c>
      <c r="E43" s="8">
        <f ca="1">IFERROR(__xludf.DUMMYFUNCTION("""COMPUTED_VALUE"""),44542)</f>
        <v>44542</v>
      </c>
      <c r="F43" s="9">
        <f ca="1">IFERROR(__xludf.DUMMYFUNCTION("""COMPUTED_VALUE"""),44542)</f>
        <v>44542</v>
      </c>
      <c r="G43" s="4" t="str">
        <f ca="1">IFERROR(__xludf.DUMMYFUNCTION("""COMPUTED_VALUE"""),"عقد توظيف")</f>
        <v>عقد توظيف</v>
      </c>
      <c r="H43" s="89" t="str">
        <f ca="1">IFERROR(__xludf.DUMMYFUNCTION("""COMPUTED_VALUE"""),"ذكر ")</f>
        <v xml:space="preserve">ذكر </v>
      </c>
      <c r="I43" s="4"/>
      <c r="J43" s="6"/>
      <c r="K43" s="10"/>
      <c r="L43" s="10"/>
      <c r="M43" s="4"/>
      <c r="N43" s="1"/>
      <c r="O43" s="8"/>
      <c r="P43" s="12"/>
      <c r="Q43" s="13"/>
      <c r="R43" s="1"/>
      <c r="S43" s="22"/>
      <c r="T43" s="1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ht="13.5" customHeight="1">
      <c r="A44" s="88">
        <f ca="1">IFERROR(__xludf.DUMMYFUNCTION("""COMPUTED_VALUE"""),43)</f>
        <v>43</v>
      </c>
      <c r="B44" s="2" t="str">
        <f ca="1">IFERROR(__xludf.DUMMYFUNCTION("""COMPUTED_VALUE"""),"فاطمة ابراهيم سعد السعدون")</f>
        <v>فاطمة ابراهيم سعد السعدون</v>
      </c>
      <c r="C44" s="3" t="str">
        <f ca="1">IFERROR(__xludf.DUMMYFUNCTION("""COMPUTED_VALUE"""),"Fsadon")</f>
        <v>Fsadon</v>
      </c>
      <c r="D44" s="8" t="str">
        <f ca="1">IFERROR(__xludf.DUMMYFUNCTION("""COMPUTED_VALUE"""),"داخلي")</f>
        <v>داخلي</v>
      </c>
      <c r="E44" s="8">
        <f ca="1">IFERROR(__xludf.DUMMYFUNCTION("""COMPUTED_VALUE"""),44542)</f>
        <v>44542</v>
      </c>
      <c r="F44" s="9">
        <f ca="1">IFERROR(__xludf.DUMMYFUNCTION("""COMPUTED_VALUE"""),44542)</f>
        <v>44542</v>
      </c>
      <c r="G44" s="4" t="str">
        <f ca="1">IFERROR(__xludf.DUMMYFUNCTION("""COMPUTED_VALUE"""),"عقد توظيف")</f>
        <v>عقد توظيف</v>
      </c>
      <c r="H44" s="89" t="str">
        <f ca="1">IFERROR(__xludf.DUMMYFUNCTION("""COMPUTED_VALUE"""),"أنثى")</f>
        <v>أنثى</v>
      </c>
      <c r="I44" s="4"/>
      <c r="J44" s="6"/>
      <c r="K44" s="10"/>
      <c r="L44" s="10"/>
      <c r="M44" s="4"/>
      <c r="N44" s="1"/>
      <c r="O44" s="8"/>
      <c r="P44" s="12"/>
      <c r="Q44" s="13"/>
      <c r="R44" s="1"/>
      <c r="S44" s="22"/>
      <c r="T44" s="1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ht="13.5" customHeight="1">
      <c r="A45" s="88">
        <f ca="1">IFERROR(__xludf.DUMMYFUNCTION("""COMPUTED_VALUE"""),44)</f>
        <v>44</v>
      </c>
      <c r="B45" s="2" t="str">
        <f ca="1">IFERROR(__xludf.DUMMYFUNCTION("""COMPUTED_VALUE"""),"فهد محمد عوض المالكي")</f>
        <v>فهد محمد عوض المالكي</v>
      </c>
      <c r="C45" s="3" t="str">
        <f ca="1">IFERROR(__xludf.DUMMYFUNCTION("""COMPUTED_VALUE"""),"Fmalki")</f>
        <v>Fmalki</v>
      </c>
      <c r="D45" s="8" t="str">
        <f ca="1">IFERROR(__xludf.DUMMYFUNCTION("""COMPUTED_VALUE"""),"داخلي")</f>
        <v>داخلي</v>
      </c>
      <c r="E45" s="8">
        <f ca="1">IFERROR(__xludf.DUMMYFUNCTION("""COMPUTED_VALUE"""),44542)</f>
        <v>44542</v>
      </c>
      <c r="F45" s="9">
        <f ca="1">IFERROR(__xludf.DUMMYFUNCTION("""COMPUTED_VALUE"""),44542)</f>
        <v>44542</v>
      </c>
      <c r="G45" s="4" t="str">
        <f ca="1">IFERROR(__xludf.DUMMYFUNCTION("""COMPUTED_VALUE"""),"عقد توظيف")</f>
        <v>عقد توظيف</v>
      </c>
      <c r="H45" s="89" t="str">
        <f ca="1">IFERROR(__xludf.DUMMYFUNCTION("""COMPUTED_VALUE"""),"ذكر ")</f>
        <v xml:space="preserve">ذكر </v>
      </c>
      <c r="I45" s="4"/>
      <c r="J45" s="6"/>
      <c r="K45" s="10"/>
      <c r="L45" s="10"/>
      <c r="M45" s="6"/>
      <c r="N45" s="6"/>
      <c r="O45" s="8"/>
      <c r="P45" s="12"/>
      <c r="Q45" s="13"/>
      <c r="R45" s="1"/>
      <c r="S45" s="22"/>
      <c r="T45" s="1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ht="13.5" customHeight="1">
      <c r="A46" s="88">
        <f ca="1">IFERROR(__xludf.DUMMYFUNCTION("""COMPUTED_VALUE"""),45)</f>
        <v>45</v>
      </c>
      <c r="B46" s="17" t="str">
        <f ca="1">IFERROR(__xludf.DUMMYFUNCTION("""COMPUTED_VALUE"""),"محمد وهيب محمد الوهيبي")</f>
        <v>محمد وهيب محمد الوهيبي</v>
      </c>
      <c r="C46" s="3" t="str">
        <f ca="1">IFERROR(__xludf.DUMMYFUNCTION("""COMPUTED_VALUE"""),"Mwhebi")</f>
        <v>Mwhebi</v>
      </c>
      <c r="D46" s="8" t="str">
        <f ca="1">IFERROR(__xludf.DUMMYFUNCTION("""COMPUTED_VALUE"""),"داخلي")</f>
        <v>داخلي</v>
      </c>
      <c r="E46" s="8">
        <f ca="1">IFERROR(__xludf.DUMMYFUNCTION("""COMPUTED_VALUE"""),44542)</f>
        <v>44542</v>
      </c>
      <c r="F46" s="9">
        <f ca="1">IFERROR(__xludf.DUMMYFUNCTION("""COMPUTED_VALUE"""),44542)</f>
        <v>44542</v>
      </c>
      <c r="G46" s="4" t="str">
        <f ca="1">IFERROR(__xludf.DUMMYFUNCTION("""COMPUTED_VALUE"""),"عقد توظيف")</f>
        <v>عقد توظيف</v>
      </c>
      <c r="H46" s="89" t="str">
        <f ca="1">IFERROR(__xludf.DUMMYFUNCTION("""COMPUTED_VALUE"""),"ذكر ")</f>
        <v xml:space="preserve">ذكر </v>
      </c>
      <c r="I46" s="4"/>
      <c r="J46" s="6"/>
      <c r="K46" s="10"/>
      <c r="L46" s="10"/>
      <c r="M46" s="1"/>
      <c r="N46" s="1"/>
      <c r="O46" s="8"/>
      <c r="P46" s="12"/>
      <c r="Q46" s="13"/>
      <c r="R46" s="1"/>
      <c r="S46" s="22"/>
      <c r="T46" s="1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3.5" customHeight="1">
      <c r="A47" s="88">
        <f ca="1">IFERROR(__xludf.DUMMYFUNCTION("""COMPUTED_VALUE"""),46)</f>
        <v>46</v>
      </c>
      <c r="B47" s="2" t="str">
        <f ca="1">IFERROR(__xludf.DUMMYFUNCTION("""COMPUTED_VALUE"""),"هلا مناور تركي العنزي")</f>
        <v>هلا مناور تركي العنزي</v>
      </c>
      <c r="C47" s="3" t="str">
        <f ca="1">IFERROR(__xludf.DUMMYFUNCTION("""COMPUTED_VALUE"""),"Hma.alonizi")</f>
        <v>Hma.alonizi</v>
      </c>
      <c r="D47" s="8" t="str">
        <f ca="1">IFERROR(__xludf.DUMMYFUNCTION("""COMPUTED_VALUE"""),"داخلي")</f>
        <v>داخلي</v>
      </c>
      <c r="E47" s="8">
        <f ca="1">IFERROR(__xludf.DUMMYFUNCTION("""COMPUTED_VALUE"""),44542)</f>
        <v>44542</v>
      </c>
      <c r="F47" s="9">
        <f ca="1">IFERROR(__xludf.DUMMYFUNCTION("""COMPUTED_VALUE"""),44542)</f>
        <v>44542</v>
      </c>
      <c r="G47" s="4" t="str">
        <f ca="1">IFERROR(__xludf.DUMMYFUNCTION("""COMPUTED_VALUE"""),"عقد توظيف")</f>
        <v>عقد توظيف</v>
      </c>
      <c r="H47" s="89" t="str">
        <f ca="1">IFERROR(__xludf.DUMMYFUNCTION("""COMPUTED_VALUE"""),"أنثى")</f>
        <v>أنثى</v>
      </c>
      <c r="I47" s="4"/>
      <c r="J47" s="6"/>
      <c r="K47" s="10"/>
      <c r="L47" s="10"/>
      <c r="M47" s="1"/>
      <c r="N47" s="1"/>
      <c r="O47" s="8"/>
      <c r="P47" s="12"/>
      <c r="Q47" s="13"/>
      <c r="R47" s="1"/>
      <c r="S47" s="22"/>
      <c r="T47" s="1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ht="13.5" customHeight="1">
      <c r="A48" s="88">
        <f ca="1">IFERROR(__xludf.DUMMYFUNCTION("""COMPUTED_VALUE"""),47)</f>
        <v>47</v>
      </c>
      <c r="B48" s="2" t="str">
        <f ca="1">IFERROR(__xludf.DUMMYFUNCTION("""COMPUTED_VALUE"""),"هياء محمد عيران الدوسري")</f>
        <v>هياء محمد عيران الدوسري</v>
      </c>
      <c r="C48" s="3" t="str">
        <f ca="1">IFERROR(__xludf.DUMMYFUNCTION("""COMPUTED_VALUE"""),"Hdosari")</f>
        <v>Hdosari</v>
      </c>
      <c r="D48" s="8" t="str">
        <f ca="1">IFERROR(__xludf.DUMMYFUNCTION("""COMPUTED_VALUE"""),"داخلي")</f>
        <v>داخلي</v>
      </c>
      <c r="E48" s="8">
        <f ca="1">IFERROR(__xludf.DUMMYFUNCTION("""COMPUTED_VALUE"""),44542)</f>
        <v>44542</v>
      </c>
      <c r="F48" s="9">
        <f ca="1">IFERROR(__xludf.DUMMYFUNCTION("""COMPUTED_VALUE"""),44542)</f>
        <v>44542</v>
      </c>
      <c r="G48" s="4" t="str">
        <f ca="1">IFERROR(__xludf.DUMMYFUNCTION("""COMPUTED_VALUE"""),"عقد توظيف")</f>
        <v>عقد توظيف</v>
      </c>
      <c r="H48" s="89" t="str">
        <f ca="1">IFERROR(__xludf.DUMMYFUNCTION("""COMPUTED_VALUE"""),"أنثى")</f>
        <v>أنثى</v>
      </c>
      <c r="I48" s="4"/>
      <c r="J48" s="6"/>
      <c r="K48" s="10"/>
      <c r="L48" s="10"/>
      <c r="M48" s="1"/>
      <c r="N48" s="1"/>
      <c r="O48" s="8"/>
      <c r="P48" s="12"/>
      <c r="Q48" s="13"/>
      <c r="R48" s="1"/>
      <c r="S48" s="22"/>
      <c r="T48" s="1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ht="13.5" customHeight="1">
      <c r="A49" s="88">
        <f ca="1">IFERROR(__xludf.DUMMYFUNCTION("""COMPUTED_VALUE"""),48)</f>
        <v>48</v>
      </c>
      <c r="B49" s="2" t="str">
        <f ca="1">IFERROR(__xludf.DUMMYFUNCTION("""COMPUTED_VALUE"""),"عبدالوهاب مطلق حماد العطوي ")</f>
        <v xml:space="preserve">عبدالوهاب مطلق حماد العطوي </v>
      </c>
      <c r="C49" s="3" t="str">
        <f ca="1">IFERROR(__xludf.DUMMYFUNCTION("""COMPUTED_VALUE"""),"Aatawi")</f>
        <v>Aatawi</v>
      </c>
      <c r="D49" s="8" t="str">
        <f ca="1">IFERROR(__xludf.DUMMYFUNCTION("""COMPUTED_VALUE"""),"داخلي")</f>
        <v>داخلي</v>
      </c>
      <c r="E49" s="8">
        <f ca="1">IFERROR(__xludf.DUMMYFUNCTION("""COMPUTED_VALUE"""),44542)</f>
        <v>44542</v>
      </c>
      <c r="F49" s="9">
        <f ca="1">IFERROR(__xludf.DUMMYFUNCTION("""COMPUTED_VALUE"""),44542)</f>
        <v>44542</v>
      </c>
      <c r="G49" s="4" t="str">
        <f ca="1">IFERROR(__xludf.DUMMYFUNCTION("""COMPUTED_VALUE"""),"عمل حر")</f>
        <v>عمل حر</v>
      </c>
      <c r="H49" s="89" t="str">
        <f ca="1">IFERROR(__xludf.DUMMYFUNCTION("""COMPUTED_VALUE"""),"ذكر ")</f>
        <v xml:space="preserve">ذكر </v>
      </c>
      <c r="I49" s="4"/>
      <c r="J49" s="6"/>
      <c r="K49" s="10"/>
      <c r="L49" s="10"/>
      <c r="M49" s="1"/>
      <c r="N49" s="1"/>
      <c r="O49" s="8"/>
      <c r="P49" s="12"/>
      <c r="Q49" s="13"/>
      <c r="R49" s="1"/>
      <c r="S49" s="22"/>
      <c r="T49" s="1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13.5" customHeight="1">
      <c r="A50" s="88">
        <f ca="1">IFERROR(__xludf.DUMMYFUNCTION("""COMPUTED_VALUE"""),49)</f>
        <v>49</v>
      </c>
      <c r="B50" s="2" t="str">
        <f ca="1">IFERROR(__xludf.DUMMYFUNCTION("""COMPUTED_VALUE"""),"ساره حمد ناصر الخريجي")</f>
        <v>ساره حمد ناصر الخريجي</v>
      </c>
      <c r="C50" s="3" t="str">
        <f ca="1">IFERROR(__xludf.DUMMYFUNCTION("""COMPUTED_VALUE"""),"Shalkhuraiji")</f>
        <v>Shalkhuraiji</v>
      </c>
      <c r="D50" s="8" t="str">
        <f ca="1">IFERROR(__xludf.DUMMYFUNCTION("""COMPUTED_VALUE"""),"داخلي")</f>
        <v>داخلي</v>
      </c>
      <c r="E50" s="8">
        <f ca="1">IFERROR(__xludf.DUMMYFUNCTION("""COMPUTED_VALUE"""),44542)</f>
        <v>44542</v>
      </c>
      <c r="F50" s="9">
        <f ca="1">IFERROR(__xludf.DUMMYFUNCTION("""COMPUTED_VALUE"""),44542)</f>
        <v>44542</v>
      </c>
      <c r="G50" s="4" t="str">
        <f ca="1">IFERROR(__xludf.DUMMYFUNCTION("""COMPUTED_VALUE"""),"عمل حر")</f>
        <v>عمل حر</v>
      </c>
      <c r="H50" s="89" t="str">
        <f ca="1">IFERROR(__xludf.DUMMYFUNCTION("""COMPUTED_VALUE"""),"أنثى")</f>
        <v>أنثى</v>
      </c>
      <c r="I50" s="4"/>
      <c r="J50" s="6"/>
      <c r="K50" s="10"/>
      <c r="L50" s="10"/>
      <c r="M50" s="1"/>
      <c r="N50" s="1"/>
      <c r="O50" s="8"/>
      <c r="P50" s="12"/>
      <c r="Q50" s="13"/>
      <c r="R50" s="1"/>
      <c r="S50" s="14"/>
      <c r="T50" s="1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ht="13.5" customHeight="1">
      <c r="A51" s="88">
        <f ca="1">IFERROR(__xludf.DUMMYFUNCTION("""COMPUTED_VALUE"""),50)</f>
        <v>50</v>
      </c>
      <c r="B51" s="2" t="str">
        <f ca="1">IFERROR(__xludf.DUMMYFUNCTION("""COMPUTED_VALUE"""),"وفاء عبدالله صالح السلامة")</f>
        <v>وفاء عبدالله صالح السلامة</v>
      </c>
      <c r="C51" s="3" t="str">
        <f ca="1">IFERROR(__xludf.DUMMYFUNCTION("""COMPUTED_VALUE"""),"Wsalama")</f>
        <v>Wsalama</v>
      </c>
      <c r="D51" s="8" t="str">
        <f ca="1">IFERROR(__xludf.DUMMYFUNCTION("""COMPUTED_VALUE"""),"داخلي")</f>
        <v>داخلي</v>
      </c>
      <c r="E51" s="8">
        <f ca="1">IFERROR(__xludf.DUMMYFUNCTION("""COMPUTED_VALUE"""),44542)</f>
        <v>44542</v>
      </c>
      <c r="F51" s="9">
        <f ca="1">IFERROR(__xludf.DUMMYFUNCTION("""COMPUTED_VALUE"""),44542)</f>
        <v>44542</v>
      </c>
      <c r="G51" s="4" t="str">
        <f ca="1">IFERROR(__xludf.DUMMYFUNCTION("""COMPUTED_VALUE"""),"عمل حر")</f>
        <v>عمل حر</v>
      </c>
      <c r="H51" s="89" t="str">
        <f ca="1">IFERROR(__xludf.DUMMYFUNCTION("""COMPUTED_VALUE"""),"أنثى")</f>
        <v>أنثى</v>
      </c>
      <c r="I51" s="4"/>
      <c r="J51" s="6"/>
      <c r="K51" s="10"/>
      <c r="L51" s="10"/>
      <c r="M51" s="1"/>
      <c r="N51" s="1"/>
      <c r="O51" s="8"/>
      <c r="P51" s="12"/>
      <c r="Q51" s="13"/>
      <c r="R51" s="1"/>
      <c r="S51" s="22"/>
      <c r="T51" s="1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13.5" customHeight="1">
      <c r="A52" s="88">
        <f ca="1">IFERROR(__xludf.DUMMYFUNCTION("""COMPUTED_VALUE"""),51)</f>
        <v>51</v>
      </c>
      <c r="B52" s="2" t="str">
        <f ca="1">IFERROR(__xludf.DUMMYFUNCTION("""COMPUTED_VALUE"""),"نوره عبدالله محمد المريس")</f>
        <v>نوره عبدالله محمد المريس</v>
      </c>
      <c r="C52" s="3" t="str">
        <f ca="1">IFERROR(__xludf.DUMMYFUNCTION("""COMPUTED_VALUE"""),"Nmries")</f>
        <v>Nmries</v>
      </c>
      <c r="D52" s="8" t="str">
        <f ca="1">IFERROR(__xludf.DUMMYFUNCTION("""COMPUTED_VALUE"""),"داخلي")</f>
        <v>داخلي</v>
      </c>
      <c r="E52" s="8">
        <f ca="1">IFERROR(__xludf.DUMMYFUNCTION("""COMPUTED_VALUE"""),44542)</f>
        <v>44542</v>
      </c>
      <c r="F52" s="9">
        <f ca="1">IFERROR(__xludf.DUMMYFUNCTION("""COMPUTED_VALUE"""),44542)</f>
        <v>44542</v>
      </c>
      <c r="G52" s="4" t="str">
        <f ca="1">IFERROR(__xludf.DUMMYFUNCTION("""COMPUTED_VALUE"""),"عقد توظيف")</f>
        <v>عقد توظيف</v>
      </c>
      <c r="H52" s="89" t="str">
        <f ca="1">IFERROR(__xludf.DUMMYFUNCTION("""COMPUTED_VALUE"""),"أنثى")</f>
        <v>أنثى</v>
      </c>
      <c r="I52" s="4"/>
      <c r="J52" s="6"/>
      <c r="K52" s="10"/>
      <c r="L52" s="10"/>
      <c r="M52" s="1"/>
      <c r="N52" s="1"/>
      <c r="O52" s="8"/>
      <c r="P52" s="12"/>
      <c r="Q52" s="13"/>
      <c r="R52" s="1"/>
      <c r="S52" s="22"/>
      <c r="T52" s="1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ht="13.5" customHeight="1">
      <c r="A53" s="88">
        <f ca="1">IFERROR(__xludf.DUMMYFUNCTION("""COMPUTED_VALUE"""),52)</f>
        <v>52</v>
      </c>
      <c r="B53" s="2" t="str">
        <f ca="1">IFERROR(__xludf.DUMMYFUNCTION("""COMPUTED_VALUE"""),"خالد بن سعد بن ابراهيم بن جميعه")</f>
        <v>خالد بن سعد بن ابراهيم بن جميعه</v>
      </c>
      <c r="C53" s="3" t="str">
        <f ca="1">IFERROR(__xludf.DUMMYFUNCTION("""COMPUTED_VALUE"""),"Ksajmeah-dis")</f>
        <v>Ksajmeah-dis</v>
      </c>
      <c r="D53" s="8" t="str">
        <f ca="1">IFERROR(__xludf.DUMMYFUNCTION("""COMPUTED_VALUE"""),"داخلي")</f>
        <v>داخلي</v>
      </c>
      <c r="E53" s="8">
        <f ca="1">IFERROR(__xludf.DUMMYFUNCTION("""COMPUTED_VALUE"""),44544)</f>
        <v>44544</v>
      </c>
      <c r="F53" s="9">
        <f ca="1">IFERROR(__xludf.DUMMYFUNCTION("""COMPUTED_VALUE"""),44544)</f>
        <v>44544</v>
      </c>
      <c r="G53" s="4" t="str">
        <f ca="1">IFERROR(__xludf.DUMMYFUNCTION("""COMPUTED_VALUE"""),"عمل حر")</f>
        <v>عمل حر</v>
      </c>
      <c r="H53" s="89" t="str">
        <f ca="1">IFERROR(__xludf.DUMMYFUNCTION("""COMPUTED_VALUE"""),"ذكر ")</f>
        <v xml:space="preserve">ذكر </v>
      </c>
      <c r="I53" s="4"/>
      <c r="J53" s="6"/>
      <c r="K53" s="10"/>
      <c r="L53" s="10"/>
      <c r="M53" s="1"/>
      <c r="N53" s="1"/>
      <c r="O53" s="8"/>
      <c r="P53" s="12"/>
      <c r="Q53" s="13"/>
      <c r="R53" s="1"/>
      <c r="S53" s="22"/>
      <c r="T53" s="1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ht="13.5" customHeight="1">
      <c r="A54" s="88">
        <f ca="1">IFERROR(__xludf.DUMMYFUNCTION("""COMPUTED_VALUE"""),53)</f>
        <v>53</v>
      </c>
      <c r="B54" s="2" t="str">
        <f ca="1">IFERROR(__xludf.DUMMYFUNCTION("""COMPUTED_VALUE"""),"بشاير صالح مبارك العليان")</f>
        <v>بشاير صالح مبارك العليان</v>
      </c>
      <c r="C54" s="3" t="str">
        <f ca="1">IFERROR(__xludf.DUMMYFUNCTION("""COMPUTED_VALUE"""),"Bsalolayan")</f>
        <v>Bsalolayan</v>
      </c>
      <c r="D54" s="8" t="str">
        <f ca="1">IFERROR(__xludf.DUMMYFUNCTION("""COMPUTED_VALUE"""),"داخلي")</f>
        <v>داخلي</v>
      </c>
      <c r="E54" s="8">
        <f ca="1">IFERROR(__xludf.DUMMYFUNCTION("""COMPUTED_VALUE"""),44544)</f>
        <v>44544</v>
      </c>
      <c r="F54" s="9">
        <f ca="1">IFERROR(__xludf.DUMMYFUNCTION("""COMPUTED_VALUE"""),44545)</f>
        <v>44545</v>
      </c>
      <c r="G54" s="4" t="str">
        <f ca="1">IFERROR(__xludf.DUMMYFUNCTION("""COMPUTED_VALUE"""),"عمل حر")</f>
        <v>عمل حر</v>
      </c>
      <c r="H54" s="89" t="str">
        <f ca="1">IFERROR(__xludf.DUMMYFUNCTION("""COMPUTED_VALUE"""),"أنثى")</f>
        <v>أنثى</v>
      </c>
      <c r="I54" s="4"/>
      <c r="J54" s="6"/>
      <c r="K54" s="10"/>
      <c r="L54" s="10"/>
      <c r="M54" s="1"/>
      <c r="N54" s="1"/>
      <c r="O54" s="8"/>
      <c r="P54" s="12"/>
      <c r="Q54" s="13"/>
      <c r="R54" s="1"/>
      <c r="S54" s="22"/>
      <c r="T54" s="1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3.5" customHeight="1">
      <c r="A55" s="88">
        <f ca="1">IFERROR(__xludf.DUMMYFUNCTION("""COMPUTED_VALUE"""),54)</f>
        <v>54</v>
      </c>
      <c r="B55" s="2" t="str">
        <f ca="1">IFERROR(__xludf.DUMMYFUNCTION("""COMPUTED_VALUE"""),"اشواق علي سعود ال حمود")</f>
        <v>اشواق علي سعود ال حمود</v>
      </c>
      <c r="C55" s="3" t="str">
        <f ca="1">IFERROR(__xludf.DUMMYFUNCTION("""COMPUTED_VALUE"""),"Ahmoud")</f>
        <v>Ahmoud</v>
      </c>
      <c r="D55" s="8" t="str">
        <f ca="1">IFERROR(__xludf.DUMMYFUNCTION("""COMPUTED_VALUE"""),"داخلي")</f>
        <v>داخلي</v>
      </c>
      <c r="E55" s="8">
        <f ca="1">IFERROR(__xludf.DUMMYFUNCTION("""COMPUTED_VALUE"""),44544)</f>
        <v>44544</v>
      </c>
      <c r="F55" s="9">
        <f ca="1">IFERROR(__xludf.DUMMYFUNCTION("""COMPUTED_VALUE"""),44550)</f>
        <v>44550</v>
      </c>
      <c r="G55" s="4" t="str">
        <f ca="1">IFERROR(__xludf.DUMMYFUNCTION("""COMPUTED_VALUE"""),"عمل حر")</f>
        <v>عمل حر</v>
      </c>
      <c r="H55" s="89" t="str">
        <f ca="1">IFERROR(__xludf.DUMMYFUNCTION("""COMPUTED_VALUE"""),"أنثى")</f>
        <v>أنثى</v>
      </c>
      <c r="I55" s="4"/>
      <c r="J55" s="6"/>
      <c r="K55" s="10"/>
      <c r="L55" s="10"/>
      <c r="M55" s="1"/>
      <c r="N55" s="1"/>
      <c r="O55" s="8"/>
      <c r="P55" s="12"/>
      <c r="Q55" s="13"/>
      <c r="R55" s="1"/>
      <c r="S55" s="22"/>
      <c r="T55" s="1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ht="13.5" customHeight="1">
      <c r="A56" s="88">
        <f ca="1">IFERROR(__xludf.DUMMYFUNCTION("""COMPUTED_VALUE"""),55)</f>
        <v>55</v>
      </c>
      <c r="B56" s="2" t="str">
        <f ca="1">IFERROR(__xludf.DUMMYFUNCTION("""COMPUTED_VALUE"""),"هديل محمد عبدالله الزمامي")</f>
        <v>هديل محمد عبدالله الزمامي</v>
      </c>
      <c r="C56" s="3" t="str">
        <f ca="1">IFERROR(__xludf.DUMMYFUNCTION("""COMPUTED_VALUE"""),"Hzemami")</f>
        <v>Hzemami</v>
      </c>
      <c r="D56" s="8" t="str">
        <f ca="1">IFERROR(__xludf.DUMMYFUNCTION("""COMPUTED_VALUE"""),"داخلي")</f>
        <v>داخلي</v>
      </c>
      <c r="E56" s="8">
        <f ca="1">IFERROR(__xludf.DUMMYFUNCTION("""COMPUTED_VALUE"""),44544)</f>
        <v>44544</v>
      </c>
      <c r="F56" s="9">
        <f ca="1">IFERROR(__xludf.DUMMYFUNCTION("""COMPUTED_VALUE"""),44544)</f>
        <v>44544</v>
      </c>
      <c r="G56" s="4" t="str">
        <f ca="1">IFERROR(__xludf.DUMMYFUNCTION("""COMPUTED_VALUE"""),"عمل حر")</f>
        <v>عمل حر</v>
      </c>
      <c r="H56" s="89" t="str">
        <f ca="1">IFERROR(__xludf.DUMMYFUNCTION("""COMPUTED_VALUE"""),"أنثى")</f>
        <v>أنثى</v>
      </c>
      <c r="I56" s="4"/>
      <c r="J56" s="6"/>
      <c r="K56" s="10"/>
      <c r="L56" s="10"/>
      <c r="M56" s="1"/>
      <c r="N56" s="1"/>
      <c r="O56" s="8"/>
      <c r="P56" s="12"/>
      <c r="Q56" s="13"/>
      <c r="R56" s="1"/>
      <c r="S56" s="22"/>
      <c r="T56" s="1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ht="13.5" customHeight="1">
      <c r="A57" s="88">
        <f ca="1">IFERROR(__xludf.DUMMYFUNCTION("""COMPUTED_VALUE"""),56)</f>
        <v>56</v>
      </c>
      <c r="B57" s="2" t="str">
        <f ca="1">IFERROR(__xludf.DUMMYFUNCTION("""COMPUTED_VALUE"""),"أسيل محمد عبدالله الزمامي")</f>
        <v>أسيل محمد عبدالله الزمامي</v>
      </c>
      <c r="C57" s="3" t="str">
        <f ca="1">IFERROR(__xludf.DUMMYFUNCTION("""COMPUTED_VALUE"""),"Azemami")</f>
        <v>Azemami</v>
      </c>
      <c r="D57" s="8" t="str">
        <f ca="1">IFERROR(__xludf.DUMMYFUNCTION("""COMPUTED_VALUE"""),"داخلي")</f>
        <v>داخلي</v>
      </c>
      <c r="E57" s="8">
        <f ca="1">IFERROR(__xludf.DUMMYFUNCTION("""COMPUTED_VALUE"""),44544)</f>
        <v>44544</v>
      </c>
      <c r="F57" s="9">
        <f ca="1">IFERROR(__xludf.DUMMYFUNCTION("""COMPUTED_VALUE"""),44544)</f>
        <v>44544</v>
      </c>
      <c r="G57" s="4" t="str">
        <f ca="1">IFERROR(__xludf.DUMMYFUNCTION("""COMPUTED_VALUE"""),"عمل حر")</f>
        <v>عمل حر</v>
      </c>
      <c r="H57" s="89" t="str">
        <f ca="1">IFERROR(__xludf.DUMMYFUNCTION("""COMPUTED_VALUE"""),"أنثى")</f>
        <v>أنثى</v>
      </c>
      <c r="I57" s="4"/>
      <c r="J57" s="6"/>
      <c r="K57" s="10"/>
      <c r="L57" s="10"/>
      <c r="M57" s="1"/>
      <c r="N57" s="1"/>
      <c r="O57" s="8"/>
      <c r="P57" s="12"/>
      <c r="Q57" s="13"/>
      <c r="R57" s="1"/>
      <c r="S57" s="22"/>
      <c r="T57" s="1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ht="13.5" customHeight="1">
      <c r="A58" s="88">
        <f ca="1">IFERROR(__xludf.DUMMYFUNCTION("""COMPUTED_VALUE"""),57)</f>
        <v>57</v>
      </c>
      <c r="B58" s="2" t="str">
        <f ca="1">IFERROR(__xludf.DUMMYFUNCTION("""COMPUTED_VALUE"""),"حسن بن عبدالرحمن عبدالله الرزقي")</f>
        <v>حسن بن عبدالرحمن عبدالله الرزقي</v>
      </c>
      <c r="C58" s="3" t="str">
        <f ca="1">IFERROR(__xludf.DUMMYFUNCTION("""COMPUTED_VALUE"""),"Hrezqi")</f>
        <v>Hrezqi</v>
      </c>
      <c r="D58" s="8" t="str">
        <f ca="1">IFERROR(__xludf.DUMMYFUNCTION("""COMPUTED_VALUE"""),"داخلي")</f>
        <v>داخلي</v>
      </c>
      <c r="E58" s="8">
        <f ca="1">IFERROR(__xludf.DUMMYFUNCTION("""COMPUTED_VALUE"""),44552)</f>
        <v>44552</v>
      </c>
      <c r="F58" s="9">
        <f ca="1">IFERROR(__xludf.DUMMYFUNCTION("""COMPUTED_VALUE"""),44552)</f>
        <v>44552</v>
      </c>
      <c r="G58" s="4" t="str">
        <f ca="1">IFERROR(__xludf.DUMMYFUNCTION("""COMPUTED_VALUE"""),"عقد توظيف")</f>
        <v>عقد توظيف</v>
      </c>
      <c r="H58" s="89" t="str">
        <f ca="1">IFERROR(__xludf.DUMMYFUNCTION("""COMPUTED_VALUE"""),"ذكر ")</f>
        <v xml:space="preserve">ذكر </v>
      </c>
      <c r="I58" s="4"/>
      <c r="J58" s="6"/>
      <c r="K58" s="10"/>
      <c r="L58" s="10"/>
      <c r="M58" s="1"/>
      <c r="N58" s="1"/>
      <c r="O58" s="8"/>
      <c r="P58" s="12"/>
      <c r="Q58" s="13"/>
      <c r="R58" s="1"/>
      <c r="S58" s="22"/>
      <c r="T58" s="1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ht="13.5" customHeight="1">
      <c r="A59" s="88">
        <f ca="1">IFERROR(__xludf.DUMMYFUNCTION("""COMPUTED_VALUE"""),59)</f>
        <v>59</v>
      </c>
      <c r="B59" s="2" t="str">
        <f ca="1">IFERROR(__xludf.DUMMYFUNCTION("""COMPUTED_VALUE"""),"محمد بن سلمان بن هادي القحطاني")</f>
        <v>محمد بن سلمان بن هادي القحطاني</v>
      </c>
      <c r="C59" s="3" t="str">
        <f ca="1">IFERROR(__xludf.DUMMYFUNCTION("""COMPUTED_VALUE"""),"Msqhtani-dis")</f>
        <v>Msqhtani-dis</v>
      </c>
      <c r="D59" s="8" t="str">
        <f ca="1">IFERROR(__xludf.DUMMYFUNCTION("""COMPUTED_VALUE"""),"داخلي")</f>
        <v>داخلي</v>
      </c>
      <c r="E59" s="8">
        <f ca="1">IFERROR(__xludf.DUMMYFUNCTION("""COMPUTED_VALUE"""),44556)</f>
        <v>44556</v>
      </c>
      <c r="F59" s="9">
        <f ca="1">IFERROR(__xludf.DUMMYFUNCTION("""COMPUTED_VALUE"""),44557)</f>
        <v>44557</v>
      </c>
      <c r="G59" s="4" t="str">
        <f ca="1">IFERROR(__xludf.DUMMYFUNCTION("""COMPUTED_VALUE"""),"عمل حر")</f>
        <v>عمل حر</v>
      </c>
      <c r="H59" s="89" t="str">
        <f ca="1">IFERROR(__xludf.DUMMYFUNCTION("""COMPUTED_VALUE"""),"ذكر ")</f>
        <v xml:space="preserve">ذكر </v>
      </c>
      <c r="I59" s="4"/>
      <c r="J59" s="6"/>
      <c r="K59" s="10"/>
      <c r="L59" s="10"/>
      <c r="M59" s="1"/>
      <c r="N59" s="1"/>
      <c r="O59" s="8"/>
      <c r="P59" s="12"/>
      <c r="Q59" s="13"/>
      <c r="R59" s="1"/>
      <c r="S59" s="22"/>
      <c r="T59" s="1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ht="13.5" customHeight="1">
      <c r="A60" s="88">
        <f ca="1">IFERROR(__xludf.DUMMYFUNCTION("""COMPUTED_VALUE"""),60)</f>
        <v>60</v>
      </c>
      <c r="B60" s="2" t="str">
        <f ca="1">IFERROR(__xludf.DUMMYFUNCTION("""COMPUTED_VALUE"""),"حصه عبدالله ناصر الموسى")</f>
        <v>حصه عبدالله ناصر الموسى</v>
      </c>
      <c r="C60" s="3" t="str">
        <f ca="1">IFERROR(__xludf.DUMMYFUNCTION("""COMPUTED_VALUE"""),"Hmousa")</f>
        <v>Hmousa</v>
      </c>
      <c r="D60" s="8" t="str">
        <f ca="1">IFERROR(__xludf.DUMMYFUNCTION("""COMPUTED_VALUE"""),"داخلي")</f>
        <v>داخلي</v>
      </c>
      <c r="E60" s="8">
        <f ca="1">IFERROR(__xludf.DUMMYFUNCTION("""COMPUTED_VALUE"""),44556)</f>
        <v>44556</v>
      </c>
      <c r="F60" s="9">
        <f ca="1">IFERROR(__xludf.DUMMYFUNCTION("""COMPUTED_VALUE"""),44556)</f>
        <v>44556</v>
      </c>
      <c r="G60" s="4" t="str">
        <f ca="1">IFERROR(__xludf.DUMMYFUNCTION("""COMPUTED_VALUE"""),"عقد توظيف")</f>
        <v>عقد توظيف</v>
      </c>
      <c r="H60" s="89" t="str">
        <f ca="1">IFERROR(__xludf.DUMMYFUNCTION("""COMPUTED_VALUE"""),"أنثى")</f>
        <v>أنثى</v>
      </c>
      <c r="I60" s="4"/>
      <c r="J60" s="6"/>
      <c r="K60" s="10"/>
      <c r="L60" s="10"/>
      <c r="M60" s="1"/>
      <c r="N60" s="1"/>
      <c r="O60" s="8"/>
      <c r="P60" s="12"/>
      <c r="Q60" s="13"/>
      <c r="R60" s="1"/>
      <c r="S60" s="22"/>
      <c r="T60" s="1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ht="13.5" customHeight="1">
      <c r="A61" s="88">
        <f ca="1">IFERROR(__xludf.DUMMYFUNCTION("""COMPUTED_VALUE"""),61)</f>
        <v>61</v>
      </c>
      <c r="B61" s="2" t="str">
        <f ca="1">IFERROR(__xludf.DUMMYFUNCTION("""COMPUTED_VALUE"""),"نجلاء فهد بندر المطيري")</f>
        <v>نجلاء فهد بندر المطيري</v>
      </c>
      <c r="C61" s="3" t="str">
        <f ca="1">IFERROR(__xludf.DUMMYFUNCTION("""COMPUTED_VALUE"""),"Njmutairi")</f>
        <v>Njmutairi</v>
      </c>
      <c r="D61" s="8" t="str">
        <f ca="1">IFERROR(__xludf.DUMMYFUNCTION("""COMPUTED_VALUE"""),"داخلي")</f>
        <v>داخلي</v>
      </c>
      <c r="E61" s="8">
        <f ca="1">IFERROR(__xludf.DUMMYFUNCTION("""COMPUTED_VALUE"""),44556)</f>
        <v>44556</v>
      </c>
      <c r="F61" s="9">
        <f ca="1">IFERROR(__xludf.DUMMYFUNCTION("""COMPUTED_VALUE"""),44556)</f>
        <v>44556</v>
      </c>
      <c r="G61" s="4" t="str">
        <f ca="1">IFERROR(__xludf.DUMMYFUNCTION("""COMPUTED_VALUE"""),"عمل حر")</f>
        <v>عمل حر</v>
      </c>
      <c r="H61" s="89" t="str">
        <f ca="1">IFERROR(__xludf.DUMMYFUNCTION("""COMPUTED_VALUE"""),"أنثى")</f>
        <v>أنثى</v>
      </c>
      <c r="I61" s="4"/>
      <c r="J61" s="6"/>
      <c r="K61" s="10"/>
      <c r="L61" s="10"/>
      <c r="M61" s="1"/>
      <c r="N61" s="1"/>
      <c r="O61" s="8"/>
      <c r="P61" s="12"/>
      <c r="Q61" s="13"/>
      <c r="R61" s="1"/>
      <c r="S61" s="22"/>
      <c r="T61" s="1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ht="13.5" customHeight="1">
      <c r="A62" s="88">
        <f ca="1">IFERROR(__xludf.DUMMYFUNCTION("""COMPUTED_VALUE"""),62)</f>
        <v>62</v>
      </c>
      <c r="B62" s="2" t="str">
        <f ca="1">IFERROR(__xludf.DUMMYFUNCTION("""COMPUTED_VALUE"""),"ندى بدر عبدالرزاق الرشيدان")</f>
        <v>ندى بدر عبدالرزاق الرشيدان</v>
      </c>
      <c r="C62" s="3" t="str">
        <f ca="1">IFERROR(__xludf.DUMMYFUNCTION("""COMPUTED_VALUE"""),"Nrshaydan")</f>
        <v>Nrshaydan</v>
      </c>
      <c r="D62" s="8" t="str">
        <f ca="1">IFERROR(__xludf.DUMMYFUNCTION("""COMPUTED_VALUE"""),"داخلي")</f>
        <v>داخلي</v>
      </c>
      <c r="E62" s="8">
        <f ca="1">IFERROR(__xludf.DUMMYFUNCTION("""COMPUTED_VALUE"""),44556)</f>
        <v>44556</v>
      </c>
      <c r="F62" s="9">
        <f ca="1">IFERROR(__xludf.DUMMYFUNCTION("""COMPUTED_VALUE"""),44556)</f>
        <v>44556</v>
      </c>
      <c r="G62" s="4" t="str">
        <f ca="1">IFERROR(__xludf.DUMMYFUNCTION("""COMPUTED_VALUE"""),"عمل حر")</f>
        <v>عمل حر</v>
      </c>
      <c r="H62" s="89" t="str">
        <f ca="1">IFERROR(__xludf.DUMMYFUNCTION("""COMPUTED_VALUE"""),"أنثى")</f>
        <v>أنثى</v>
      </c>
      <c r="I62" s="4"/>
      <c r="J62" s="6"/>
      <c r="K62" s="10"/>
      <c r="L62" s="10"/>
      <c r="M62" s="1"/>
      <c r="N62" s="1"/>
      <c r="O62" s="8"/>
      <c r="P62" s="12"/>
      <c r="Q62" s="13"/>
      <c r="R62" s="1"/>
      <c r="S62" s="22"/>
      <c r="T62" s="1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ht="13.5" customHeight="1">
      <c r="A63" s="88">
        <f ca="1">IFERROR(__xludf.DUMMYFUNCTION("""COMPUTED_VALUE"""),63)</f>
        <v>63</v>
      </c>
      <c r="B63" s="2" t="str">
        <f ca="1">IFERROR(__xludf.DUMMYFUNCTION("""COMPUTED_VALUE"""),"محمد سويلم اليوسف")</f>
        <v>محمد سويلم اليوسف</v>
      </c>
      <c r="C63" s="3" t="str">
        <f ca="1">IFERROR(__xludf.DUMMYFUNCTION("""COMPUTED_VALUE"""),"M.alsoilm")</f>
        <v>M.alsoilm</v>
      </c>
      <c r="D63" s="8" t="str">
        <f ca="1">IFERROR(__xludf.DUMMYFUNCTION("""COMPUTED_VALUE"""),"داخلي")</f>
        <v>داخلي</v>
      </c>
      <c r="E63" s="8">
        <f ca="1">IFERROR(__xludf.DUMMYFUNCTION("""COMPUTED_VALUE"""),44557)</f>
        <v>44557</v>
      </c>
      <c r="F63" s="9">
        <f ca="1">IFERROR(__xludf.DUMMYFUNCTION("""COMPUTED_VALUE"""),44557)</f>
        <v>44557</v>
      </c>
      <c r="G63" s="4" t="str">
        <f ca="1">IFERROR(__xludf.DUMMYFUNCTION("""COMPUTED_VALUE"""),"عقد توظيف")</f>
        <v>عقد توظيف</v>
      </c>
      <c r="H63" s="89" t="str">
        <f ca="1">IFERROR(__xludf.DUMMYFUNCTION("""COMPUTED_VALUE"""),"ذكر ")</f>
        <v xml:space="preserve">ذكر </v>
      </c>
      <c r="I63" s="4"/>
      <c r="J63" s="6"/>
      <c r="K63" s="6"/>
      <c r="L63" s="10"/>
      <c r="M63" s="1"/>
      <c r="N63" s="1"/>
      <c r="O63" s="8"/>
      <c r="P63" s="12"/>
      <c r="Q63" s="13"/>
      <c r="R63" s="1"/>
      <c r="S63" s="22"/>
      <c r="T63" s="1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ht="13.5" customHeight="1">
      <c r="A64" s="88">
        <f ca="1">IFERROR(__xludf.DUMMYFUNCTION("""COMPUTED_VALUE"""),64)</f>
        <v>64</v>
      </c>
      <c r="B64" s="2" t="str">
        <f ca="1">IFERROR(__xludf.DUMMYFUNCTION("""COMPUTED_VALUE"""),"ابتهال خضران المطيري")</f>
        <v>ابتهال خضران المطيري</v>
      </c>
      <c r="C64" s="3" t="str">
        <f ca="1">IFERROR(__xludf.DUMMYFUNCTION("""COMPUTED_VALUE"""),"Emutairi")</f>
        <v>Emutairi</v>
      </c>
      <c r="D64" s="8" t="str">
        <f ca="1">IFERROR(__xludf.DUMMYFUNCTION("""COMPUTED_VALUE"""),"داخلي")</f>
        <v>داخلي</v>
      </c>
      <c r="E64" s="8">
        <f ca="1">IFERROR(__xludf.DUMMYFUNCTION("""COMPUTED_VALUE"""),44558)</f>
        <v>44558</v>
      </c>
      <c r="F64" s="9">
        <f ca="1">IFERROR(__xludf.DUMMYFUNCTION("""COMPUTED_VALUE"""),44558)</f>
        <v>44558</v>
      </c>
      <c r="G64" s="4" t="str">
        <f ca="1">IFERROR(__xludf.DUMMYFUNCTION("""COMPUTED_VALUE"""),"عمل حر")</f>
        <v>عمل حر</v>
      </c>
      <c r="H64" s="89" t="str">
        <f ca="1">IFERROR(__xludf.DUMMYFUNCTION("""COMPUTED_VALUE"""),"أنثى")</f>
        <v>أنثى</v>
      </c>
      <c r="I64" s="4"/>
      <c r="J64" s="6"/>
      <c r="K64" s="10"/>
      <c r="L64" s="10"/>
      <c r="M64" s="1"/>
      <c r="N64" s="1"/>
      <c r="O64" s="8"/>
      <c r="P64" s="12"/>
      <c r="Q64" s="13"/>
      <c r="R64" s="1"/>
      <c r="S64" s="22"/>
      <c r="T64" s="1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ht="13.5" customHeight="1">
      <c r="A65" s="88">
        <f ca="1">IFERROR(__xludf.DUMMYFUNCTION("""COMPUTED_VALUE"""),65)</f>
        <v>65</v>
      </c>
      <c r="B65" s="2" t="str">
        <f ca="1">IFERROR(__xludf.DUMMYFUNCTION("""COMPUTED_VALUE"""),"خالد سفر سعد المطيري")</f>
        <v>خالد سفر سعد المطيري</v>
      </c>
      <c r="C65" s="3" t="str">
        <f ca="1">IFERROR(__xludf.DUMMYFUNCTION("""COMPUTED_VALUE"""),"Khmutairi")</f>
        <v>Khmutairi</v>
      </c>
      <c r="D65" s="8" t="str">
        <f ca="1">IFERROR(__xludf.DUMMYFUNCTION("""COMPUTED_VALUE"""),"داخلي")</f>
        <v>داخلي</v>
      </c>
      <c r="E65" s="8">
        <f ca="1">IFERROR(__xludf.DUMMYFUNCTION("""COMPUTED_VALUE"""),44560)</f>
        <v>44560</v>
      </c>
      <c r="F65" s="9">
        <f ca="1">IFERROR(__xludf.DUMMYFUNCTION("""COMPUTED_VALUE"""),44560)</f>
        <v>44560</v>
      </c>
      <c r="G65" s="4" t="str">
        <f ca="1">IFERROR(__xludf.DUMMYFUNCTION("""COMPUTED_VALUE"""),"عمل حر")</f>
        <v>عمل حر</v>
      </c>
      <c r="H65" s="89" t="str">
        <f ca="1">IFERROR(__xludf.DUMMYFUNCTION("""COMPUTED_VALUE"""),"ذكر ")</f>
        <v xml:space="preserve">ذكر </v>
      </c>
      <c r="I65" s="4"/>
      <c r="J65" s="6"/>
      <c r="K65" s="10"/>
      <c r="L65" s="10"/>
      <c r="M65" s="1"/>
      <c r="N65" s="1"/>
      <c r="O65" s="8"/>
      <c r="P65" s="1"/>
      <c r="Q65" s="13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ht="13.5" customHeight="1">
      <c r="A66" s="88">
        <f ca="1">IFERROR(__xludf.DUMMYFUNCTION("""COMPUTED_VALUE"""),67)</f>
        <v>67</v>
      </c>
      <c r="B66" s="2" t="str">
        <f ca="1">IFERROR(__xludf.DUMMYFUNCTION("""COMPUTED_VALUE"""),"هياء ناصر علي الشريف")</f>
        <v>هياء ناصر علي الشريف</v>
      </c>
      <c r="C66" s="3" t="str">
        <f ca="1">IFERROR(__xludf.DUMMYFUNCTION("""COMPUTED_VALUE"""),"Hashareef")</f>
        <v>Hashareef</v>
      </c>
      <c r="D66" s="8" t="str">
        <f ca="1">IFERROR(__xludf.DUMMYFUNCTION("""COMPUTED_VALUE"""),"داخلي")</f>
        <v>داخلي</v>
      </c>
      <c r="E66" s="8">
        <f ca="1">IFERROR(__xludf.DUMMYFUNCTION("""COMPUTED_VALUE"""),44560)</f>
        <v>44560</v>
      </c>
      <c r="F66" s="9">
        <f ca="1">IFERROR(__xludf.DUMMYFUNCTION("""COMPUTED_VALUE"""),44571)</f>
        <v>44571</v>
      </c>
      <c r="G66" s="4" t="str">
        <f ca="1">IFERROR(__xludf.DUMMYFUNCTION("""COMPUTED_VALUE"""),"عمل حر")</f>
        <v>عمل حر</v>
      </c>
      <c r="H66" s="89" t="str">
        <f ca="1">IFERROR(__xludf.DUMMYFUNCTION("""COMPUTED_VALUE"""),"أنثى")</f>
        <v>أنثى</v>
      </c>
      <c r="I66" s="4"/>
      <c r="J66" s="6"/>
      <c r="K66" s="10"/>
      <c r="L66" s="10"/>
      <c r="M66" s="1"/>
      <c r="N66" s="1"/>
      <c r="O66" s="8"/>
      <c r="P66" s="1"/>
      <c r="Q66" s="13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ht="13.5" customHeight="1">
      <c r="A67" s="88">
        <f ca="1">IFERROR(__xludf.DUMMYFUNCTION("""COMPUTED_VALUE"""),68)</f>
        <v>68</v>
      </c>
      <c r="B67" s="2" t="str">
        <f ca="1">IFERROR(__xludf.DUMMYFUNCTION("""COMPUTED_VALUE"""),"مها عبدالله حاسن الأحمري")</f>
        <v>مها عبدالله حاسن الأحمري</v>
      </c>
      <c r="C67" s="3" t="str">
        <f ca="1">IFERROR(__xludf.DUMMYFUNCTION("""COMPUTED_VALUE"""),"Mhahmari")</f>
        <v>Mhahmari</v>
      </c>
      <c r="D67" s="8" t="str">
        <f ca="1">IFERROR(__xludf.DUMMYFUNCTION("""COMPUTED_VALUE"""),"داخلي")</f>
        <v>داخلي</v>
      </c>
      <c r="E67" s="8">
        <f ca="1">IFERROR(__xludf.DUMMYFUNCTION("""COMPUTED_VALUE"""),44560)</f>
        <v>44560</v>
      </c>
      <c r="F67" s="23">
        <f ca="1">IFERROR(__xludf.DUMMYFUNCTION("""COMPUTED_VALUE"""),44565)</f>
        <v>44565</v>
      </c>
      <c r="G67" s="4" t="str">
        <f ca="1">IFERROR(__xludf.DUMMYFUNCTION("""COMPUTED_VALUE"""),"عقد توظيف")</f>
        <v>عقد توظيف</v>
      </c>
      <c r="H67" s="89" t="str">
        <f ca="1">IFERROR(__xludf.DUMMYFUNCTION("""COMPUTED_VALUE"""),"أنثى")</f>
        <v>أنثى</v>
      </c>
      <c r="I67" s="4"/>
      <c r="J67" s="6"/>
      <c r="K67" s="10"/>
      <c r="L67" s="10"/>
      <c r="M67" s="1"/>
      <c r="N67" s="1"/>
      <c r="O67" s="8"/>
      <c r="P67" s="1"/>
      <c r="Q67" s="13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ht="13.5" customHeight="1">
      <c r="A68" s="88">
        <f ca="1">IFERROR(__xludf.DUMMYFUNCTION("""COMPUTED_VALUE"""),69)</f>
        <v>69</v>
      </c>
      <c r="B68" s="2" t="str">
        <f ca="1">IFERROR(__xludf.DUMMYFUNCTION("""COMPUTED_VALUE"""),"هدى ناصر علي الشريف")</f>
        <v>هدى ناصر علي الشريف</v>
      </c>
      <c r="C68" s="3" t="str">
        <f ca="1">IFERROR(__xludf.DUMMYFUNCTION("""COMPUTED_VALUE"""),"Hshareef")</f>
        <v>Hshareef</v>
      </c>
      <c r="D68" s="8" t="str">
        <f ca="1">IFERROR(__xludf.DUMMYFUNCTION("""COMPUTED_VALUE"""),"داخلي")</f>
        <v>داخلي</v>
      </c>
      <c r="E68" s="8">
        <f ca="1">IFERROR(__xludf.DUMMYFUNCTION("""COMPUTED_VALUE"""),44560)</f>
        <v>44560</v>
      </c>
      <c r="F68" s="9">
        <f ca="1">IFERROR(__xludf.DUMMYFUNCTION("""COMPUTED_VALUE"""),44570)</f>
        <v>44570</v>
      </c>
      <c r="G68" s="4" t="str">
        <f ca="1">IFERROR(__xludf.DUMMYFUNCTION("""COMPUTED_VALUE"""),"عمل حر")</f>
        <v>عمل حر</v>
      </c>
      <c r="H68" s="89" t="str">
        <f ca="1">IFERROR(__xludf.DUMMYFUNCTION("""COMPUTED_VALUE"""),"أنثى")</f>
        <v>أنثى</v>
      </c>
      <c r="I68" s="4"/>
      <c r="J68" s="6"/>
      <c r="K68" s="10"/>
      <c r="L68" s="10"/>
      <c r="M68" s="1"/>
      <c r="N68" s="1"/>
      <c r="O68" s="8"/>
      <c r="P68" s="1"/>
      <c r="Q68" s="13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ht="13.5" customHeight="1">
      <c r="A69" s="88">
        <f ca="1">IFERROR(__xludf.DUMMYFUNCTION("""COMPUTED_VALUE"""),70)</f>
        <v>70</v>
      </c>
      <c r="B69" s="2" t="str">
        <f ca="1">IFERROR(__xludf.DUMMYFUNCTION("""COMPUTED_VALUE"""),"حمد خالد حمد البراهيم")</f>
        <v>حمد خالد حمد البراهيم</v>
      </c>
      <c r="C69" s="3" t="str">
        <f ca="1">IFERROR(__xludf.DUMMYFUNCTION("""COMPUTED_VALUE"""),"Hibrahim")</f>
        <v>Hibrahim</v>
      </c>
      <c r="D69" s="8" t="str">
        <f ca="1">IFERROR(__xludf.DUMMYFUNCTION("""COMPUTED_VALUE"""),"داخلي")</f>
        <v>داخلي</v>
      </c>
      <c r="E69" s="8">
        <f ca="1">IFERROR(__xludf.DUMMYFUNCTION("""COMPUTED_VALUE"""),44560)</f>
        <v>44560</v>
      </c>
      <c r="F69" s="9">
        <f ca="1">IFERROR(__xludf.DUMMYFUNCTION("""COMPUTED_VALUE"""),44560)</f>
        <v>44560</v>
      </c>
      <c r="G69" s="4" t="str">
        <f ca="1">IFERROR(__xludf.DUMMYFUNCTION("""COMPUTED_VALUE"""),"عمل حر")</f>
        <v>عمل حر</v>
      </c>
      <c r="H69" s="89" t="str">
        <f ca="1">IFERROR(__xludf.DUMMYFUNCTION("""COMPUTED_VALUE"""),"ذكر ")</f>
        <v xml:space="preserve">ذكر </v>
      </c>
      <c r="I69" s="4"/>
      <c r="J69" s="6"/>
      <c r="K69" s="10"/>
      <c r="L69" s="10"/>
      <c r="M69" s="1"/>
      <c r="N69" s="1"/>
      <c r="O69" s="8"/>
      <c r="P69" s="12"/>
      <c r="Q69" s="13"/>
      <c r="R69" s="1"/>
      <c r="S69" s="24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ht="13.5" customHeight="1">
      <c r="A70" s="88">
        <f ca="1">IFERROR(__xludf.DUMMYFUNCTION("""COMPUTED_VALUE"""),71)</f>
        <v>71</v>
      </c>
      <c r="B70" s="2" t="str">
        <f ca="1">IFERROR(__xludf.DUMMYFUNCTION("""COMPUTED_VALUE"""),"فيصل محمد علي الشماسي")</f>
        <v>فيصل محمد علي الشماسي</v>
      </c>
      <c r="C70" s="3" t="str">
        <f ca="1">IFERROR(__xludf.DUMMYFUNCTION("""COMPUTED_VALUE"""),"Fshumasi")</f>
        <v>Fshumasi</v>
      </c>
      <c r="D70" s="8" t="str">
        <f ca="1">IFERROR(__xludf.DUMMYFUNCTION("""COMPUTED_VALUE"""),"داخلي")</f>
        <v>داخلي</v>
      </c>
      <c r="E70" s="8">
        <f ca="1">IFERROR(__xludf.DUMMYFUNCTION("""COMPUTED_VALUE"""),44563)</f>
        <v>44563</v>
      </c>
      <c r="F70" s="9">
        <f ca="1">IFERROR(__xludf.DUMMYFUNCTION("""COMPUTED_VALUE"""),44563)</f>
        <v>44563</v>
      </c>
      <c r="G70" s="4" t="str">
        <f ca="1">IFERROR(__xludf.DUMMYFUNCTION("""COMPUTED_VALUE"""),"عمل حر")</f>
        <v>عمل حر</v>
      </c>
      <c r="H70" s="89" t="str">
        <f ca="1">IFERROR(__xludf.DUMMYFUNCTION("""COMPUTED_VALUE"""),"ذكر ")</f>
        <v xml:space="preserve">ذكر </v>
      </c>
      <c r="I70" s="4"/>
      <c r="J70" s="6"/>
      <c r="K70" s="10"/>
      <c r="L70" s="10"/>
      <c r="M70" s="1"/>
      <c r="N70" s="1"/>
      <c r="O70" s="8"/>
      <c r="P70" s="1"/>
      <c r="Q70" s="13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ht="13.5" customHeight="1">
      <c r="A71" s="88">
        <f ca="1">IFERROR(__xludf.DUMMYFUNCTION("""COMPUTED_VALUE"""),72)</f>
        <v>72</v>
      </c>
      <c r="B71" s="2" t="str">
        <f ca="1">IFERROR(__xludf.DUMMYFUNCTION("""COMPUTED_VALUE"""),"لطيفه عبدالعزيز محمد الزازان")</f>
        <v>لطيفه عبدالعزيز محمد الزازان</v>
      </c>
      <c r="C71" s="3" t="str">
        <f ca="1">IFERROR(__xludf.DUMMYFUNCTION("""COMPUTED_VALUE"""),"Lzazan")</f>
        <v>Lzazan</v>
      </c>
      <c r="D71" s="8" t="str">
        <f ca="1">IFERROR(__xludf.DUMMYFUNCTION("""COMPUTED_VALUE"""),"داخلي")</f>
        <v>داخلي</v>
      </c>
      <c r="E71" s="8">
        <f ca="1">IFERROR(__xludf.DUMMYFUNCTION("""COMPUTED_VALUE"""),44563)</f>
        <v>44563</v>
      </c>
      <c r="F71" s="23">
        <f ca="1">IFERROR(__xludf.DUMMYFUNCTION("""COMPUTED_VALUE"""),44563)</f>
        <v>44563</v>
      </c>
      <c r="G71" s="4" t="str">
        <f ca="1">IFERROR(__xludf.DUMMYFUNCTION("""COMPUTED_VALUE"""),"عمل حر")</f>
        <v>عمل حر</v>
      </c>
      <c r="H71" s="89" t="str">
        <f ca="1">IFERROR(__xludf.DUMMYFUNCTION("""COMPUTED_VALUE"""),"أنثى")</f>
        <v>أنثى</v>
      </c>
      <c r="I71" s="4"/>
      <c r="J71" s="6"/>
      <c r="K71" s="10"/>
      <c r="L71" s="10"/>
      <c r="M71" s="1"/>
      <c r="N71" s="1"/>
      <c r="O71" s="8"/>
      <c r="P71" s="1"/>
      <c r="Q71" s="13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ht="13.5" customHeight="1">
      <c r="A72" s="88">
        <f ca="1">IFERROR(__xludf.DUMMYFUNCTION("""COMPUTED_VALUE"""),73)</f>
        <v>73</v>
      </c>
      <c r="B72" s="2" t="str">
        <f ca="1">IFERROR(__xludf.DUMMYFUNCTION("""COMPUTED_VALUE"""),"الهام محمد عبدالرحمن الحمود")</f>
        <v>الهام محمد عبدالرحمن الحمود</v>
      </c>
      <c r="C72" s="3" t="str">
        <f ca="1">IFERROR(__xludf.DUMMYFUNCTION("""COMPUTED_VALUE"""),"Ehmoud")</f>
        <v>Ehmoud</v>
      </c>
      <c r="D72" s="8" t="str">
        <f ca="1">IFERROR(__xludf.DUMMYFUNCTION("""COMPUTED_VALUE"""),"داخلي")</f>
        <v>داخلي</v>
      </c>
      <c r="E72" s="8">
        <f ca="1">IFERROR(__xludf.DUMMYFUNCTION("""COMPUTED_VALUE"""),44563)</f>
        <v>44563</v>
      </c>
      <c r="F72" s="9">
        <f ca="1">IFERROR(__xludf.DUMMYFUNCTION("""COMPUTED_VALUE"""),44563)</f>
        <v>44563</v>
      </c>
      <c r="G72" s="4" t="str">
        <f ca="1">IFERROR(__xludf.DUMMYFUNCTION("""COMPUTED_VALUE"""),"عقد توظيف")</f>
        <v>عقد توظيف</v>
      </c>
      <c r="H72" s="89" t="str">
        <f ca="1">IFERROR(__xludf.DUMMYFUNCTION("""COMPUTED_VALUE"""),"أنثى")</f>
        <v>أنثى</v>
      </c>
      <c r="I72" s="4"/>
      <c r="J72" s="6"/>
      <c r="K72" s="10"/>
      <c r="L72" s="10"/>
      <c r="M72" s="1"/>
      <c r="N72" s="1"/>
      <c r="O72" s="8"/>
      <c r="P72" s="1"/>
      <c r="Q72" s="13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ht="13.5" customHeight="1">
      <c r="A73" s="88">
        <f ca="1">IFERROR(__xludf.DUMMYFUNCTION("""COMPUTED_VALUE"""),74)</f>
        <v>74</v>
      </c>
      <c r="B73" s="2" t="str">
        <f ca="1">IFERROR(__xludf.DUMMYFUNCTION("""COMPUTED_VALUE"""),"أسماء خالد أحمد الشهيل")</f>
        <v>أسماء خالد أحمد الشهيل</v>
      </c>
      <c r="C73" s="3" t="str">
        <f ca="1">IFERROR(__xludf.DUMMYFUNCTION("""COMPUTED_VALUE"""),"Asheheel")</f>
        <v>Asheheel</v>
      </c>
      <c r="D73" s="8" t="str">
        <f ca="1">IFERROR(__xludf.DUMMYFUNCTION("""COMPUTED_VALUE"""),"داخلي")</f>
        <v>داخلي</v>
      </c>
      <c r="E73" s="8">
        <f ca="1">IFERROR(__xludf.DUMMYFUNCTION("""COMPUTED_VALUE"""),44563)</f>
        <v>44563</v>
      </c>
      <c r="F73" s="9">
        <f ca="1">IFERROR(__xludf.DUMMYFUNCTION("""COMPUTED_VALUE"""),44563)</f>
        <v>44563</v>
      </c>
      <c r="G73" s="4" t="str">
        <f ca="1">IFERROR(__xludf.DUMMYFUNCTION("""COMPUTED_VALUE"""),"عقد توظيف")</f>
        <v>عقد توظيف</v>
      </c>
      <c r="H73" s="89" t="str">
        <f ca="1">IFERROR(__xludf.DUMMYFUNCTION("""COMPUTED_VALUE"""),"أنثى")</f>
        <v>أنثى</v>
      </c>
      <c r="I73" s="4"/>
      <c r="J73" s="6"/>
      <c r="K73" s="10"/>
      <c r="L73" s="10"/>
      <c r="M73" s="1"/>
      <c r="N73" s="1"/>
      <c r="O73" s="8"/>
      <c r="P73" s="1"/>
      <c r="Q73" s="13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ht="13.5" customHeight="1">
      <c r="A74" s="88">
        <f ca="1">IFERROR(__xludf.DUMMYFUNCTION("""COMPUTED_VALUE"""),75)</f>
        <v>75</v>
      </c>
      <c r="B74" s="4" t="str">
        <f ca="1">IFERROR(__xludf.DUMMYFUNCTION("""COMPUTED_VALUE"""),"رهف شايق عبدالرحمن الشايق")</f>
        <v>رهف شايق عبدالرحمن الشايق</v>
      </c>
      <c r="C74" s="3" t="str">
        <f ca="1">IFERROR(__xludf.DUMMYFUNCTION("""COMPUTED_VALUE"""),"Rshayeq")</f>
        <v>Rshayeq</v>
      </c>
      <c r="D74" s="8" t="str">
        <f ca="1">IFERROR(__xludf.DUMMYFUNCTION("""COMPUTED_VALUE"""),"داخلي")</f>
        <v>داخلي</v>
      </c>
      <c r="E74" s="8">
        <f ca="1">IFERROR(__xludf.DUMMYFUNCTION("""COMPUTED_VALUE"""),44563)</f>
        <v>44563</v>
      </c>
      <c r="F74" s="9">
        <f ca="1">IFERROR(__xludf.DUMMYFUNCTION("""COMPUTED_VALUE"""),44563)</f>
        <v>44563</v>
      </c>
      <c r="G74" s="4" t="str">
        <f ca="1">IFERROR(__xludf.DUMMYFUNCTION("""COMPUTED_VALUE"""),"عقد توظيف")</f>
        <v>عقد توظيف</v>
      </c>
      <c r="H74" s="89" t="str">
        <f ca="1">IFERROR(__xludf.DUMMYFUNCTION("""COMPUTED_VALUE"""),"أنثى")</f>
        <v>أنثى</v>
      </c>
      <c r="I74" s="4"/>
      <c r="J74" s="6"/>
      <c r="K74" s="10"/>
      <c r="L74" s="10"/>
      <c r="M74" s="1"/>
      <c r="N74" s="1"/>
      <c r="O74" s="8"/>
      <c r="P74" s="1"/>
      <c r="Q74" s="13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ht="13.5" customHeight="1">
      <c r="A75" s="88">
        <f ca="1">IFERROR(__xludf.DUMMYFUNCTION("""COMPUTED_VALUE"""),76)</f>
        <v>76</v>
      </c>
      <c r="B75" s="2" t="str">
        <f ca="1">IFERROR(__xludf.DUMMYFUNCTION("""COMPUTED_VALUE"""),"فاطمه عبدالله احمد بن شهيل")</f>
        <v>فاطمه عبدالله احمد بن شهيل</v>
      </c>
      <c r="C75" s="3" t="str">
        <f ca="1">IFERROR(__xludf.DUMMYFUNCTION("""COMPUTED_VALUE"""),"Fshuhail")</f>
        <v>Fshuhail</v>
      </c>
      <c r="D75" s="8" t="str">
        <f ca="1">IFERROR(__xludf.DUMMYFUNCTION("""COMPUTED_VALUE"""),"داخلي")</f>
        <v>داخلي</v>
      </c>
      <c r="E75" s="8">
        <f ca="1">IFERROR(__xludf.DUMMYFUNCTION("""COMPUTED_VALUE"""),44563)</f>
        <v>44563</v>
      </c>
      <c r="F75" s="9">
        <f ca="1">IFERROR(__xludf.DUMMYFUNCTION("""COMPUTED_VALUE"""),44563)</f>
        <v>44563</v>
      </c>
      <c r="G75" s="4" t="str">
        <f ca="1">IFERROR(__xludf.DUMMYFUNCTION("""COMPUTED_VALUE"""),"عقد توظيف")</f>
        <v>عقد توظيف</v>
      </c>
      <c r="H75" s="89" t="str">
        <f ca="1">IFERROR(__xludf.DUMMYFUNCTION("""COMPUTED_VALUE"""),"أنثى")</f>
        <v>أنثى</v>
      </c>
      <c r="I75" s="4"/>
      <c r="J75" s="6"/>
      <c r="K75" s="10"/>
      <c r="L75" s="10"/>
      <c r="M75" s="1"/>
      <c r="N75" s="1"/>
      <c r="O75" s="8"/>
      <c r="P75" s="1"/>
      <c r="Q75" s="13"/>
      <c r="R75" s="1"/>
      <c r="S75" s="22"/>
      <c r="T75" s="1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ht="13.5" customHeight="1">
      <c r="A76" s="88">
        <f ca="1">IFERROR(__xludf.DUMMYFUNCTION("""COMPUTED_VALUE"""),77)</f>
        <v>77</v>
      </c>
      <c r="B76" s="2" t="str">
        <f ca="1">IFERROR(__xludf.DUMMYFUNCTION("""COMPUTED_VALUE"""),"مجد سلمان معتق المعتق")</f>
        <v>مجد سلمان معتق المعتق</v>
      </c>
      <c r="C76" s="3" t="str">
        <f ca="1">IFERROR(__xludf.DUMMYFUNCTION("""COMPUTED_VALUE"""),"Mmutteq")</f>
        <v>Mmutteq</v>
      </c>
      <c r="D76" s="8" t="str">
        <f ca="1">IFERROR(__xludf.DUMMYFUNCTION("""COMPUTED_VALUE"""),"داخلي")</f>
        <v>داخلي</v>
      </c>
      <c r="E76" s="9">
        <f ca="1">IFERROR(__xludf.DUMMYFUNCTION("""COMPUTED_VALUE"""),44563)</f>
        <v>44563</v>
      </c>
      <c r="F76" s="9">
        <f ca="1">IFERROR(__xludf.DUMMYFUNCTION("""COMPUTED_VALUE"""),44563)</f>
        <v>44563</v>
      </c>
      <c r="G76" s="4" t="str">
        <f ca="1">IFERROR(__xludf.DUMMYFUNCTION("""COMPUTED_VALUE"""),"عقد توظيف")</f>
        <v>عقد توظيف</v>
      </c>
      <c r="H76" s="89" t="str">
        <f ca="1">IFERROR(__xludf.DUMMYFUNCTION("""COMPUTED_VALUE"""),"أنثى")</f>
        <v>أنثى</v>
      </c>
      <c r="I76" s="4"/>
      <c r="J76" s="6"/>
      <c r="K76" s="10"/>
      <c r="L76" s="10"/>
      <c r="M76" s="1"/>
      <c r="N76" s="1"/>
      <c r="O76" s="8"/>
      <c r="P76" s="1"/>
      <c r="Q76" s="13"/>
      <c r="R76" s="1"/>
      <c r="S76" s="22"/>
      <c r="T76" s="1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ht="13.5" customHeight="1">
      <c r="A77" s="88">
        <f ca="1">IFERROR(__xludf.DUMMYFUNCTION("""COMPUTED_VALUE"""),78)</f>
        <v>78</v>
      </c>
      <c r="B77" s="2" t="str">
        <f ca="1">IFERROR(__xludf.DUMMYFUNCTION("""COMPUTED_VALUE"""),"نوال عائض عبدالله ال عامر")</f>
        <v>نوال عائض عبدالله ال عامر</v>
      </c>
      <c r="C77" s="3" t="str">
        <f ca="1">IFERROR(__xludf.DUMMYFUNCTION("""COMPUTED_VALUE"""),"Namer")</f>
        <v>Namer</v>
      </c>
      <c r="D77" s="8" t="str">
        <f ca="1">IFERROR(__xludf.DUMMYFUNCTION("""COMPUTED_VALUE"""),"داخلي")</f>
        <v>داخلي</v>
      </c>
      <c r="E77" s="9">
        <f ca="1">IFERROR(__xludf.DUMMYFUNCTION("""COMPUTED_VALUE"""),44563)</f>
        <v>44563</v>
      </c>
      <c r="F77" s="9">
        <f ca="1">IFERROR(__xludf.DUMMYFUNCTION("""COMPUTED_VALUE"""),44563)</f>
        <v>44563</v>
      </c>
      <c r="G77" s="4" t="str">
        <f ca="1">IFERROR(__xludf.DUMMYFUNCTION("""COMPUTED_VALUE"""),"عقد توظيف")</f>
        <v>عقد توظيف</v>
      </c>
      <c r="H77" s="89" t="str">
        <f ca="1">IFERROR(__xludf.DUMMYFUNCTION("""COMPUTED_VALUE"""),"أنثى")</f>
        <v>أنثى</v>
      </c>
      <c r="I77" s="4"/>
      <c r="J77" s="6"/>
      <c r="K77" s="10"/>
      <c r="L77" s="10"/>
      <c r="M77" s="1"/>
      <c r="N77" s="1"/>
      <c r="O77" s="8"/>
      <c r="P77" s="1"/>
      <c r="Q77" s="13"/>
      <c r="R77" s="1"/>
      <c r="S77" s="22"/>
      <c r="T77" s="1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ht="13.5" customHeight="1">
      <c r="A78" s="88">
        <f ca="1">IFERROR(__xludf.DUMMYFUNCTION("""COMPUTED_VALUE"""),79)</f>
        <v>79</v>
      </c>
      <c r="B78" s="2" t="str">
        <f ca="1">IFERROR(__xludf.DUMMYFUNCTION("""COMPUTED_VALUE"""),"البندري سلمان القريني")</f>
        <v>البندري سلمان القريني</v>
      </c>
      <c r="C78" s="3" t="str">
        <f ca="1">IFERROR(__xludf.DUMMYFUNCTION("""COMPUTED_VALUE"""),"Agraini")</f>
        <v>Agraini</v>
      </c>
      <c r="D78" s="8" t="str">
        <f ca="1">IFERROR(__xludf.DUMMYFUNCTION("""COMPUTED_VALUE"""),"داخلي")</f>
        <v>داخلي</v>
      </c>
      <c r="E78" s="8">
        <f ca="1">IFERROR(__xludf.DUMMYFUNCTION("""COMPUTED_VALUE"""),44564)</f>
        <v>44564</v>
      </c>
      <c r="F78" s="9">
        <f ca="1">IFERROR(__xludf.DUMMYFUNCTION("""COMPUTED_VALUE"""),44564)</f>
        <v>44564</v>
      </c>
      <c r="G78" s="4" t="str">
        <f ca="1">IFERROR(__xludf.DUMMYFUNCTION("""COMPUTED_VALUE"""),"عقد توظيف")</f>
        <v>عقد توظيف</v>
      </c>
      <c r="H78" s="89" t="str">
        <f ca="1">IFERROR(__xludf.DUMMYFUNCTION("""COMPUTED_VALUE"""),"أنثى")</f>
        <v>أنثى</v>
      </c>
      <c r="I78" s="4"/>
      <c r="J78" s="6"/>
      <c r="K78" s="10"/>
      <c r="L78" s="10"/>
      <c r="M78" s="1"/>
      <c r="N78" s="1"/>
      <c r="O78" s="8"/>
      <c r="P78" s="1"/>
      <c r="Q78" s="13"/>
      <c r="R78" s="1"/>
      <c r="S78" s="22"/>
      <c r="T78" s="1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ht="13.5" customHeight="1">
      <c r="A79" s="88">
        <f ca="1">IFERROR(__xludf.DUMMYFUNCTION("""COMPUTED_VALUE"""),80)</f>
        <v>80</v>
      </c>
      <c r="B79" s="2" t="str">
        <f ca="1">IFERROR(__xludf.DUMMYFUNCTION("""COMPUTED_VALUE"""),"سارة أحمد عبدالله العجراء")</f>
        <v>سارة أحمد عبدالله العجراء</v>
      </c>
      <c r="C79" s="3" t="str">
        <f ca="1">IFERROR(__xludf.DUMMYFUNCTION("""COMPUTED_VALUE"""),"Sajra")</f>
        <v>Sajra</v>
      </c>
      <c r="D79" s="8" t="str">
        <f ca="1">IFERROR(__xludf.DUMMYFUNCTION("""COMPUTED_VALUE"""),"داخلي")</f>
        <v>داخلي</v>
      </c>
      <c r="E79" s="8">
        <f ca="1">IFERROR(__xludf.DUMMYFUNCTION("""COMPUTED_VALUE"""),44577)</f>
        <v>44577</v>
      </c>
      <c r="F79" s="9">
        <f ca="1">IFERROR(__xludf.DUMMYFUNCTION("""COMPUTED_VALUE"""),44577)</f>
        <v>44577</v>
      </c>
      <c r="G79" s="4" t="str">
        <f ca="1">IFERROR(__xludf.DUMMYFUNCTION("""COMPUTED_VALUE"""),"عقد توظيف")</f>
        <v>عقد توظيف</v>
      </c>
      <c r="H79" s="89" t="str">
        <f ca="1">IFERROR(__xludf.DUMMYFUNCTION("""COMPUTED_VALUE"""),"أنثى")</f>
        <v>أنثى</v>
      </c>
      <c r="I79" s="4"/>
      <c r="J79" s="6"/>
      <c r="K79" s="10"/>
      <c r="L79" s="10"/>
      <c r="M79" s="1"/>
      <c r="N79" s="1"/>
      <c r="O79" s="8"/>
      <c r="P79" s="1"/>
      <c r="Q79" s="13"/>
      <c r="R79" s="1"/>
      <c r="S79" s="22"/>
      <c r="T79" s="1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ht="13.5" customHeight="1">
      <c r="A80" s="88">
        <f ca="1">IFERROR(__xludf.DUMMYFUNCTION("""COMPUTED_VALUE"""),81)</f>
        <v>81</v>
      </c>
      <c r="B80" s="2" t="str">
        <f ca="1">IFERROR(__xludf.DUMMYFUNCTION("""COMPUTED_VALUE"""),"في حمد احمد الغميز")</f>
        <v>في حمد احمد الغميز</v>
      </c>
      <c r="C80" s="3" t="str">
        <f ca="1">IFERROR(__xludf.DUMMYFUNCTION("""COMPUTED_VALUE"""),"Fghumais")</f>
        <v>Fghumais</v>
      </c>
      <c r="D80" s="8" t="str">
        <f ca="1">IFERROR(__xludf.DUMMYFUNCTION("""COMPUTED_VALUE"""),"داخلي")</f>
        <v>داخلي</v>
      </c>
      <c r="E80" s="8">
        <f ca="1">IFERROR(__xludf.DUMMYFUNCTION("""COMPUTED_VALUE"""),44564)</f>
        <v>44564</v>
      </c>
      <c r="F80" s="9">
        <f ca="1">IFERROR(__xludf.DUMMYFUNCTION("""COMPUTED_VALUE"""),44564)</f>
        <v>44564</v>
      </c>
      <c r="G80" s="4" t="str">
        <f ca="1">IFERROR(__xludf.DUMMYFUNCTION("""COMPUTED_VALUE"""),"عقد توظيف")</f>
        <v>عقد توظيف</v>
      </c>
      <c r="H80" s="89" t="str">
        <f ca="1">IFERROR(__xludf.DUMMYFUNCTION("""COMPUTED_VALUE"""),"أنثى")</f>
        <v>أنثى</v>
      </c>
      <c r="I80" s="4"/>
      <c r="J80" s="6"/>
      <c r="K80" s="10"/>
      <c r="L80" s="10"/>
      <c r="M80" s="1"/>
      <c r="N80" s="1"/>
      <c r="O80" s="8"/>
      <c r="P80" s="1"/>
      <c r="Q80" s="13"/>
      <c r="R80" s="1"/>
      <c r="S80" s="22"/>
      <c r="T80" s="1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ht="13.5" customHeight="1">
      <c r="A81" s="88">
        <f ca="1">IFERROR(__xludf.DUMMYFUNCTION("""COMPUTED_VALUE"""),82)</f>
        <v>82</v>
      </c>
      <c r="B81" s="4" t="str">
        <f ca="1">IFERROR(__xludf.DUMMYFUNCTION("""COMPUTED_VALUE"""),"محمد بزاري احمد نجعي")</f>
        <v>محمد بزاري احمد نجعي</v>
      </c>
      <c r="C81" s="3" t="str">
        <f ca="1">IFERROR(__xludf.DUMMYFUNCTION("""COMPUTED_VALUE"""),"Mnajie")</f>
        <v>Mnajie</v>
      </c>
      <c r="D81" s="8" t="str">
        <f ca="1">IFERROR(__xludf.DUMMYFUNCTION("""COMPUTED_VALUE"""),"داخلي")</f>
        <v>داخلي</v>
      </c>
      <c r="E81" s="9">
        <f ca="1">IFERROR(__xludf.DUMMYFUNCTION("""COMPUTED_VALUE"""),44564)</f>
        <v>44564</v>
      </c>
      <c r="F81" s="9">
        <f ca="1">IFERROR(__xludf.DUMMYFUNCTION("""COMPUTED_VALUE"""),44564)</f>
        <v>44564</v>
      </c>
      <c r="G81" s="4" t="str">
        <f ca="1">IFERROR(__xludf.DUMMYFUNCTION("""COMPUTED_VALUE"""),"عقد توظيف")</f>
        <v>عقد توظيف</v>
      </c>
      <c r="H81" s="89" t="str">
        <f ca="1">IFERROR(__xludf.DUMMYFUNCTION("""COMPUTED_VALUE"""),"ذكر ")</f>
        <v xml:space="preserve">ذكر </v>
      </c>
      <c r="I81" s="4"/>
      <c r="J81" s="6"/>
      <c r="K81" s="10"/>
      <c r="L81" s="10"/>
      <c r="M81" s="1"/>
      <c r="N81" s="1"/>
      <c r="O81" s="8"/>
      <c r="P81" s="1"/>
      <c r="Q81" s="13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ht="13.5" customHeight="1">
      <c r="A82" s="88">
        <f ca="1">IFERROR(__xludf.DUMMYFUNCTION("""COMPUTED_VALUE"""),83)</f>
        <v>83</v>
      </c>
      <c r="B82" s="2" t="str">
        <f ca="1">IFERROR(__xludf.DUMMYFUNCTION("""COMPUTED_VALUE"""),"نوف ابراهيم محمد المطوع")</f>
        <v>نوف ابراهيم محمد المطوع</v>
      </c>
      <c r="C82" s="3" t="str">
        <f ca="1">IFERROR(__xludf.DUMMYFUNCTION("""COMPUTED_VALUE"""),"Noufalmutawae")</f>
        <v>Noufalmutawae</v>
      </c>
      <c r="D82" s="8" t="str">
        <f ca="1">IFERROR(__xludf.DUMMYFUNCTION("""COMPUTED_VALUE"""),"داخلي")</f>
        <v>داخلي</v>
      </c>
      <c r="E82" s="9">
        <f ca="1">IFERROR(__xludf.DUMMYFUNCTION("""COMPUTED_VALUE"""),44564)</f>
        <v>44564</v>
      </c>
      <c r="F82" s="9">
        <f ca="1">IFERROR(__xludf.DUMMYFUNCTION("""COMPUTED_VALUE"""),44564)</f>
        <v>44564</v>
      </c>
      <c r="G82" s="4" t="str">
        <f ca="1">IFERROR(__xludf.DUMMYFUNCTION("""COMPUTED_VALUE"""),"عقد توظيف")</f>
        <v>عقد توظيف</v>
      </c>
      <c r="H82" s="89" t="str">
        <f ca="1">IFERROR(__xludf.DUMMYFUNCTION("""COMPUTED_VALUE"""),"أنثى")</f>
        <v>أنثى</v>
      </c>
      <c r="I82" s="4"/>
      <c r="J82" s="6"/>
      <c r="K82" s="10"/>
      <c r="L82" s="10"/>
      <c r="M82" s="1"/>
      <c r="N82" s="1"/>
      <c r="O82" s="8"/>
      <c r="P82" s="1"/>
      <c r="Q82" s="13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ht="13.5" customHeight="1">
      <c r="A83" s="88">
        <f ca="1">IFERROR(__xludf.DUMMYFUNCTION("""COMPUTED_VALUE"""),84)</f>
        <v>84</v>
      </c>
      <c r="B83" s="2" t="str">
        <f ca="1">IFERROR(__xludf.DUMMYFUNCTION("""COMPUTED_VALUE"""),"وعد محمد السبيعي")</f>
        <v>وعد محمد السبيعي</v>
      </c>
      <c r="C83" s="3" t="str">
        <f ca="1">IFERROR(__xludf.DUMMYFUNCTION("""COMPUTED_VALUE"""),"Wsubaie")</f>
        <v>Wsubaie</v>
      </c>
      <c r="D83" s="25" t="str">
        <f ca="1">IFERROR(__xludf.DUMMYFUNCTION("""COMPUTED_VALUE"""),"داخلي")</f>
        <v>داخلي</v>
      </c>
      <c r="E83" s="12">
        <f ca="1">IFERROR(__xludf.DUMMYFUNCTION("""COMPUTED_VALUE"""),44564)</f>
        <v>44564</v>
      </c>
      <c r="F83" s="9">
        <f ca="1">IFERROR(__xludf.DUMMYFUNCTION("""COMPUTED_VALUE"""),44564)</f>
        <v>44564</v>
      </c>
      <c r="G83" s="4" t="str">
        <f ca="1">IFERROR(__xludf.DUMMYFUNCTION("""COMPUTED_VALUE"""),"عقد توظيف")</f>
        <v>عقد توظيف</v>
      </c>
      <c r="H83" s="89" t="str">
        <f ca="1">IFERROR(__xludf.DUMMYFUNCTION("""COMPUTED_VALUE"""),"أنثى")</f>
        <v>أنثى</v>
      </c>
      <c r="I83" s="4"/>
      <c r="J83" s="6"/>
      <c r="K83" s="10"/>
      <c r="L83" s="10"/>
      <c r="M83" s="1"/>
      <c r="N83" s="1"/>
      <c r="O83" s="1"/>
      <c r="P83" s="1"/>
      <c r="Q83" s="13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ht="13.5" customHeight="1">
      <c r="A84" s="88">
        <f ca="1">IFERROR(__xludf.DUMMYFUNCTION("""COMPUTED_VALUE"""),85)</f>
        <v>85</v>
      </c>
      <c r="B84" s="2" t="str">
        <f ca="1">IFERROR(__xludf.DUMMYFUNCTION("""COMPUTED_VALUE"""),"مقيم عايض عبدالرحمن الدوسري")</f>
        <v>مقيم عايض عبدالرحمن الدوسري</v>
      </c>
      <c r="C84" s="3" t="str">
        <f ca="1">IFERROR(__xludf.DUMMYFUNCTION("""COMPUTED_VALUE"""),"Mudosari")</f>
        <v>Mudosari</v>
      </c>
      <c r="D84" s="8" t="str">
        <f ca="1">IFERROR(__xludf.DUMMYFUNCTION("""COMPUTED_VALUE"""),"داخلي")</f>
        <v>داخلي</v>
      </c>
      <c r="E84" s="12">
        <f ca="1">IFERROR(__xludf.DUMMYFUNCTION("""COMPUTED_VALUE"""),44565)</f>
        <v>44565</v>
      </c>
      <c r="F84" s="9">
        <f ca="1">IFERROR(__xludf.DUMMYFUNCTION("""COMPUTED_VALUE"""),44565)</f>
        <v>44565</v>
      </c>
      <c r="G84" s="4" t="str">
        <f ca="1">IFERROR(__xludf.DUMMYFUNCTION("""COMPUTED_VALUE"""),"عمل حر")</f>
        <v>عمل حر</v>
      </c>
      <c r="H84" s="89" t="str">
        <f ca="1">IFERROR(__xludf.DUMMYFUNCTION("""COMPUTED_VALUE"""),"ذكر ")</f>
        <v xml:space="preserve">ذكر </v>
      </c>
      <c r="I84" s="4"/>
      <c r="J84" s="6"/>
      <c r="K84" s="10"/>
      <c r="L84" s="10"/>
      <c r="M84" s="1"/>
      <c r="N84" s="1"/>
      <c r="O84" s="1"/>
      <c r="P84" s="1"/>
      <c r="Q84" s="13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ht="13.5" customHeight="1">
      <c r="A85" s="88">
        <f ca="1">IFERROR(__xludf.DUMMYFUNCTION("""COMPUTED_VALUE"""),86)</f>
        <v>86</v>
      </c>
      <c r="B85" s="2" t="str">
        <f ca="1">IFERROR(__xludf.DUMMYFUNCTION("""COMPUTED_VALUE"""),"ابراهيم محمد ابراهيم السليم")</f>
        <v>ابراهيم محمد ابراهيم السليم</v>
      </c>
      <c r="C85" s="3" t="str">
        <f ca="1">IFERROR(__xludf.DUMMYFUNCTION("""COMPUTED_VALUE"""),"Islayem")</f>
        <v>Islayem</v>
      </c>
      <c r="D85" s="25" t="str">
        <f ca="1">IFERROR(__xludf.DUMMYFUNCTION("""COMPUTED_VALUE"""),"داخلي")</f>
        <v>داخلي</v>
      </c>
      <c r="E85" s="12">
        <f ca="1">IFERROR(__xludf.DUMMYFUNCTION("""COMPUTED_VALUE"""),44565)</f>
        <v>44565</v>
      </c>
      <c r="F85" s="9">
        <f ca="1">IFERROR(__xludf.DUMMYFUNCTION("""COMPUTED_VALUE"""),44565)</f>
        <v>44565</v>
      </c>
      <c r="G85" s="4" t="str">
        <f ca="1">IFERROR(__xludf.DUMMYFUNCTION("""COMPUTED_VALUE"""),"عقد توظيف")</f>
        <v>عقد توظيف</v>
      </c>
      <c r="H85" s="89" t="str">
        <f ca="1">IFERROR(__xludf.DUMMYFUNCTION("""COMPUTED_VALUE"""),"ذكر ")</f>
        <v xml:space="preserve">ذكر </v>
      </c>
      <c r="I85" s="4"/>
      <c r="J85" s="6"/>
      <c r="K85" s="10"/>
      <c r="L85" s="10"/>
      <c r="M85" s="1"/>
      <c r="N85" s="1"/>
      <c r="O85" s="1"/>
      <c r="P85" s="1"/>
      <c r="Q85" s="13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ht="13.5" customHeight="1">
      <c r="A86" s="88">
        <f ca="1">IFERROR(__xludf.DUMMYFUNCTION("""COMPUTED_VALUE"""),87)</f>
        <v>87</v>
      </c>
      <c r="B86" s="2" t="str">
        <f ca="1">IFERROR(__xludf.DUMMYFUNCTION("""COMPUTED_VALUE"""),"بثينة محمد صالح القرعاوي")</f>
        <v>بثينة محمد صالح القرعاوي</v>
      </c>
      <c r="C86" s="3" t="str">
        <f ca="1">IFERROR(__xludf.DUMMYFUNCTION("""COMPUTED_VALUE"""),"Bqarawi")</f>
        <v>Bqarawi</v>
      </c>
      <c r="D86" s="8" t="str">
        <f ca="1">IFERROR(__xludf.DUMMYFUNCTION("""COMPUTED_VALUE"""),"داخلي")</f>
        <v>داخلي</v>
      </c>
      <c r="E86" s="8">
        <f ca="1">IFERROR(__xludf.DUMMYFUNCTION("""COMPUTED_VALUE"""),44565)</f>
        <v>44565</v>
      </c>
      <c r="F86" s="9">
        <f ca="1">IFERROR(__xludf.DUMMYFUNCTION("""COMPUTED_VALUE"""),44565)</f>
        <v>44565</v>
      </c>
      <c r="G86" s="4" t="str">
        <f ca="1">IFERROR(__xludf.DUMMYFUNCTION("""COMPUTED_VALUE"""),"عقد توظيف")</f>
        <v>عقد توظيف</v>
      </c>
      <c r="H86" s="89" t="str">
        <f ca="1">IFERROR(__xludf.DUMMYFUNCTION("""COMPUTED_VALUE"""),"أنثى")</f>
        <v>أنثى</v>
      </c>
      <c r="I86" s="4"/>
      <c r="J86" s="6"/>
      <c r="K86" s="10"/>
      <c r="L86" s="10"/>
      <c r="M86" s="1"/>
      <c r="N86" s="1"/>
      <c r="O86" s="1"/>
      <c r="P86" s="1"/>
      <c r="Q86" s="13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ht="13.5" customHeight="1">
      <c r="A87" s="88">
        <f ca="1">IFERROR(__xludf.DUMMYFUNCTION("""COMPUTED_VALUE"""),88)</f>
        <v>88</v>
      </c>
      <c r="B87" s="2" t="str">
        <f ca="1">IFERROR(__xludf.DUMMYFUNCTION("""COMPUTED_VALUE"""),"ريم صالح عبدالرحمن القرعاوي")</f>
        <v>ريم صالح عبدالرحمن القرعاوي</v>
      </c>
      <c r="C87" s="3" t="str">
        <f ca="1">IFERROR(__xludf.DUMMYFUNCTION("""COMPUTED_VALUE"""),"Rqarawi")</f>
        <v>Rqarawi</v>
      </c>
      <c r="D87" s="25" t="str">
        <f ca="1">IFERROR(__xludf.DUMMYFUNCTION("""COMPUTED_VALUE"""),"داخلي")</f>
        <v>داخلي</v>
      </c>
      <c r="E87" s="12">
        <f ca="1">IFERROR(__xludf.DUMMYFUNCTION("""COMPUTED_VALUE"""),44565)</f>
        <v>44565</v>
      </c>
      <c r="F87" s="9">
        <f ca="1">IFERROR(__xludf.DUMMYFUNCTION("""COMPUTED_VALUE"""),44565)</f>
        <v>44565</v>
      </c>
      <c r="G87" s="4" t="str">
        <f ca="1">IFERROR(__xludf.DUMMYFUNCTION("""COMPUTED_VALUE"""),"عقد توظيف")</f>
        <v>عقد توظيف</v>
      </c>
      <c r="H87" s="89" t="str">
        <f ca="1">IFERROR(__xludf.DUMMYFUNCTION("""COMPUTED_VALUE"""),"أنثى")</f>
        <v>أنثى</v>
      </c>
      <c r="I87" s="4"/>
      <c r="J87" s="6"/>
      <c r="K87" s="10"/>
      <c r="L87" s="10"/>
      <c r="M87" s="1"/>
      <c r="N87" s="1"/>
      <c r="O87" s="1"/>
      <c r="P87" s="1"/>
      <c r="Q87" s="13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ht="13.5" customHeight="1">
      <c r="A88" s="88">
        <f ca="1">IFERROR(__xludf.DUMMYFUNCTION("""COMPUTED_VALUE"""),89)</f>
        <v>89</v>
      </c>
      <c r="B88" s="2" t="str">
        <f ca="1">IFERROR(__xludf.DUMMYFUNCTION("""COMPUTED_VALUE"""),"تهاني محمد خالد الغوينم")</f>
        <v>تهاني محمد خالد الغوينم</v>
      </c>
      <c r="C88" s="3" t="str">
        <f ca="1">IFERROR(__xludf.DUMMYFUNCTION("""COMPUTED_VALUE"""),"Tgoainem")</f>
        <v>Tgoainem</v>
      </c>
      <c r="D88" s="25" t="str">
        <f ca="1">IFERROR(__xludf.DUMMYFUNCTION("""COMPUTED_VALUE"""),"داخلي")</f>
        <v>داخلي</v>
      </c>
      <c r="E88" s="12">
        <f ca="1">IFERROR(__xludf.DUMMYFUNCTION("""COMPUTED_VALUE"""),44565)</f>
        <v>44565</v>
      </c>
      <c r="F88" s="9">
        <f ca="1">IFERROR(__xludf.DUMMYFUNCTION("""COMPUTED_VALUE"""),44565)</f>
        <v>44565</v>
      </c>
      <c r="G88" s="4" t="str">
        <f ca="1">IFERROR(__xludf.DUMMYFUNCTION("""COMPUTED_VALUE"""),"عقد توظيف")</f>
        <v>عقد توظيف</v>
      </c>
      <c r="H88" s="89" t="str">
        <f ca="1">IFERROR(__xludf.DUMMYFUNCTION("""COMPUTED_VALUE"""),"أنثى")</f>
        <v>أنثى</v>
      </c>
      <c r="I88" s="4"/>
      <c r="J88" s="6"/>
      <c r="K88" s="10"/>
      <c r="L88" s="10"/>
      <c r="M88" s="1"/>
      <c r="N88" s="1"/>
      <c r="O88" s="1"/>
      <c r="P88" s="1"/>
      <c r="Q88" s="13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ht="13.5" customHeight="1">
      <c r="A89" s="88">
        <f ca="1">IFERROR(__xludf.DUMMYFUNCTION("""COMPUTED_VALUE"""),90)</f>
        <v>90</v>
      </c>
      <c r="B89" s="2" t="str">
        <f ca="1">IFERROR(__xludf.DUMMYFUNCTION("""COMPUTED_VALUE"""),"ريناد نايف محسن العتيبي")</f>
        <v>ريناد نايف محسن العتيبي</v>
      </c>
      <c r="C89" s="3" t="str">
        <f ca="1">IFERROR(__xludf.DUMMYFUNCTION("""COMPUTED_VALUE"""),"Reotaibi")</f>
        <v>Reotaibi</v>
      </c>
      <c r="D89" s="8" t="str">
        <f ca="1">IFERROR(__xludf.DUMMYFUNCTION("""COMPUTED_VALUE"""),"داخلي")</f>
        <v>داخلي</v>
      </c>
      <c r="E89" s="12">
        <f ca="1">IFERROR(__xludf.DUMMYFUNCTION("""COMPUTED_VALUE"""),44565)</f>
        <v>44565</v>
      </c>
      <c r="F89" s="9">
        <f ca="1">IFERROR(__xludf.DUMMYFUNCTION("""COMPUTED_VALUE"""),44565)</f>
        <v>44565</v>
      </c>
      <c r="G89" s="4" t="str">
        <f ca="1">IFERROR(__xludf.DUMMYFUNCTION("""COMPUTED_VALUE"""),"عقد توظيف")</f>
        <v>عقد توظيف</v>
      </c>
      <c r="H89" s="89" t="str">
        <f ca="1">IFERROR(__xludf.DUMMYFUNCTION("""COMPUTED_VALUE"""),"أنثى")</f>
        <v>أنثى</v>
      </c>
      <c r="I89" s="4"/>
      <c r="J89" s="6"/>
      <c r="K89" s="10"/>
      <c r="L89" s="10"/>
      <c r="M89" s="1"/>
      <c r="N89" s="1"/>
      <c r="O89" s="1"/>
      <c r="P89" s="1"/>
      <c r="Q89" s="13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ht="13.5" customHeight="1">
      <c r="A90" s="88">
        <f ca="1">IFERROR(__xludf.DUMMYFUNCTION("""COMPUTED_VALUE"""),91)</f>
        <v>91</v>
      </c>
      <c r="B90" s="2" t="str">
        <f ca="1">IFERROR(__xludf.DUMMYFUNCTION("""COMPUTED_VALUE"""),"فارس بن شافي بن فيحان السبيعي")</f>
        <v>فارس بن شافي بن فيحان السبيعي</v>
      </c>
      <c r="C90" s="3" t="str">
        <f ca="1">IFERROR(__xludf.DUMMYFUNCTION("""COMPUTED_VALUE"""),"Fsubaie")</f>
        <v>Fsubaie</v>
      </c>
      <c r="D90" s="8" t="str">
        <f ca="1">IFERROR(__xludf.DUMMYFUNCTION("""COMPUTED_VALUE"""),"داخلي")</f>
        <v>داخلي</v>
      </c>
      <c r="E90" s="8">
        <f ca="1">IFERROR(__xludf.DUMMYFUNCTION("""COMPUTED_VALUE"""),44565)</f>
        <v>44565</v>
      </c>
      <c r="F90" s="9">
        <f ca="1">IFERROR(__xludf.DUMMYFUNCTION("""COMPUTED_VALUE"""),44565)</f>
        <v>44565</v>
      </c>
      <c r="G90" s="4" t="str">
        <f ca="1">IFERROR(__xludf.DUMMYFUNCTION("""COMPUTED_VALUE"""),"عقد توظيف")</f>
        <v>عقد توظيف</v>
      </c>
      <c r="H90" s="89" t="str">
        <f ca="1">IFERROR(__xludf.DUMMYFUNCTION("""COMPUTED_VALUE"""),"ذكر ")</f>
        <v xml:space="preserve">ذكر </v>
      </c>
      <c r="I90" s="4"/>
      <c r="J90" s="6"/>
      <c r="K90" s="10"/>
      <c r="L90" s="10"/>
      <c r="M90" s="1"/>
      <c r="N90" s="1"/>
      <c r="O90" s="1"/>
      <c r="P90" s="1"/>
      <c r="Q90" s="13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ht="13.5" customHeight="1">
      <c r="A91" s="88">
        <f ca="1">IFERROR(__xludf.DUMMYFUNCTION("""COMPUTED_VALUE"""),92)</f>
        <v>92</v>
      </c>
      <c r="B91" s="2" t="str">
        <f ca="1">IFERROR(__xludf.DUMMYFUNCTION("""COMPUTED_VALUE"""),"ندى عبدالله سعد الزهراني")</f>
        <v>ندى عبدالله سعد الزهراني</v>
      </c>
      <c r="C91" s="3" t="str">
        <f ca="1">IFERROR(__xludf.DUMMYFUNCTION("""COMPUTED_VALUE"""),"Ndzahrani")</f>
        <v>Ndzahrani</v>
      </c>
      <c r="D91" s="8" t="str">
        <f ca="1">IFERROR(__xludf.DUMMYFUNCTION("""COMPUTED_VALUE"""),"داخلي")</f>
        <v>داخلي</v>
      </c>
      <c r="E91" s="12">
        <f ca="1">IFERROR(__xludf.DUMMYFUNCTION("""COMPUTED_VALUE"""),44565)</f>
        <v>44565</v>
      </c>
      <c r="F91" s="9">
        <f ca="1">IFERROR(__xludf.DUMMYFUNCTION("""COMPUTED_VALUE"""),44565)</f>
        <v>44565</v>
      </c>
      <c r="G91" s="4" t="str">
        <f ca="1">IFERROR(__xludf.DUMMYFUNCTION("""COMPUTED_VALUE"""),"عقد توظيف")</f>
        <v>عقد توظيف</v>
      </c>
      <c r="H91" s="89" t="str">
        <f ca="1">IFERROR(__xludf.DUMMYFUNCTION("""COMPUTED_VALUE"""),"أنثى")</f>
        <v>أنثى</v>
      </c>
      <c r="I91" s="4"/>
      <c r="J91" s="6"/>
      <c r="K91" s="10"/>
      <c r="L91" s="10"/>
      <c r="M91" s="1"/>
      <c r="N91" s="1"/>
      <c r="O91" s="1"/>
      <c r="P91" s="1"/>
      <c r="Q91" s="13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ht="13.5" customHeight="1">
      <c r="A92" s="88">
        <f ca="1">IFERROR(__xludf.DUMMYFUNCTION("""COMPUTED_VALUE"""),93)</f>
        <v>93</v>
      </c>
      <c r="B92" s="2" t="str">
        <f ca="1">IFERROR(__xludf.DUMMYFUNCTION("""COMPUTED_VALUE"""),"عهد سعود نايف العضيلة")</f>
        <v>عهد سعود نايف العضيلة</v>
      </c>
      <c r="C92" s="3" t="str">
        <f ca="1">IFERROR(__xludf.DUMMYFUNCTION("""COMPUTED_VALUE"""),"Aodailah")</f>
        <v>Aodailah</v>
      </c>
      <c r="D92" s="8" t="str">
        <f ca="1">IFERROR(__xludf.DUMMYFUNCTION("""COMPUTED_VALUE"""),"داخلي")</f>
        <v>داخلي</v>
      </c>
      <c r="E92" s="12">
        <f ca="1">IFERROR(__xludf.DUMMYFUNCTION("""COMPUTED_VALUE"""),44565)</f>
        <v>44565</v>
      </c>
      <c r="F92" s="9">
        <f ca="1">IFERROR(__xludf.DUMMYFUNCTION("""COMPUTED_VALUE"""),44565)</f>
        <v>44565</v>
      </c>
      <c r="G92" s="4" t="str">
        <f ca="1">IFERROR(__xludf.DUMMYFUNCTION("""COMPUTED_VALUE"""),"عقد توظيف")</f>
        <v>عقد توظيف</v>
      </c>
      <c r="H92" s="89" t="str">
        <f ca="1">IFERROR(__xludf.DUMMYFUNCTION("""COMPUTED_VALUE"""),"أنثى")</f>
        <v>أنثى</v>
      </c>
      <c r="I92" s="4"/>
      <c r="J92" s="6"/>
      <c r="K92" s="10"/>
      <c r="L92" s="10"/>
      <c r="M92" s="1"/>
      <c r="N92" s="1"/>
      <c r="O92" s="1"/>
      <c r="P92" s="1"/>
      <c r="Q92" s="13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ht="13.5" customHeight="1">
      <c r="A93" s="88">
        <f ca="1">IFERROR(__xludf.DUMMYFUNCTION("""COMPUTED_VALUE"""),94)</f>
        <v>94</v>
      </c>
      <c r="B93" s="2" t="str">
        <f ca="1">IFERROR(__xludf.DUMMYFUNCTION("""COMPUTED_VALUE"""),"عبدالمجيد فهد حمد الحمد")</f>
        <v>عبدالمجيد فهد حمد الحمد</v>
      </c>
      <c r="C93" s="3" t="str">
        <f ca="1">IFERROR(__xludf.DUMMYFUNCTION("""COMPUTED_VALUE"""),"Abhamad")</f>
        <v>Abhamad</v>
      </c>
      <c r="D93" s="25" t="str">
        <f ca="1">IFERROR(__xludf.DUMMYFUNCTION("""COMPUTED_VALUE"""),"داخلي")</f>
        <v>داخلي</v>
      </c>
      <c r="E93" s="12">
        <f ca="1">IFERROR(__xludf.DUMMYFUNCTION("""COMPUTED_VALUE"""),44565)</f>
        <v>44565</v>
      </c>
      <c r="F93" s="4"/>
      <c r="G93" s="4" t="str">
        <f ca="1">IFERROR(__xludf.DUMMYFUNCTION("""COMPUTED_VALUE"""),"عقد توظيف")</f>
        <v>عقد توظيف</v>
      </c>
      <c r="H93" s="89" t="str">
        <f ca="1">IFERROR(__xludf.DUMMYFUNCTION("""COMPUTED_VALUE"""),"ذكر ")</f>
        <v xml:space="preserve">ذكر </v>
      </c>
      <c r="I93" s="4"/>
      <c r="J93" s="6"/>
      <c r="K93" s="10"/>
      <c r="L93" s="10"/>
      <c r="M93" s="1"/>
      <c r="N93" s="1"/>
      <c r="O93" s="1"/>
      <c r="P93" s="1"/>
      <c r="Q93" s="13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ht="13.5" customHeight="1">
      <c r="A94" s="88">
        <f ca="1">IFERROR(__xludf.DUMMYFUNCTION("""COMPUTED_VALUE"""),95)</f>
        <v>95</v>
      </c>
      <c r="B94" s="2" t="str">
        <f ca="1">IFERROR(__xludf.DUMMYFUNCTION("""COMPUTED_VALUE"""),"صبا حمود عبدالله الشدوخي")</f>
        <v>صبا حمود عبدالله الشدوخي</v>
      </c>
      <c r="C94" s="3" t="str">
        <f ca="1">IFERROR(__xludf.DUMMYFUNCTION("""COMPUTED_VALUE"""),"Sshdukhi")</f>
        <v>Sshdukhi</v>
      </c>
      <c r="D94" s="8" t="str">
        <f ca="1">IFERROR(__xludf.DUMMYFUNCTION("""COMPUTED_VALUE"""),"داخلي")</f>
        <v>داخلي</v>
      </c>
      <c r="E94" s="12">
        <f ca="1">IFERROR(__xludf.DUMMYFUNCTION("""COMPUTED_VALUE"""),44566)</f>
        <v>44566</v>
      </c>
      <c r="F94" s="9">
        <f ca="1">IFERROR(__xludf.DUMMYFUNCTION("""COMPUTED_VALUE"""),44566)</f>
        <v>44566</v>
      </c>
      <c r="G94" s="4" t="str">
        <f ca="1">IFERROR(__xludf.DUMMYFUNCTION("""COMPUTED_VALUE"""),"عمل حر")</f>
        <v>عمل حر</v>
      </c>
      <c r="H94" s="89" t="str">
        <f ca="1">IFERROR(__xludf.DUMMYFUNCTION("""COMPUTED_VALUE"""),"أنثى")</f>
        <v>أنثى</v>
      </c>
      <c r="I94" s="4"/>
      <c r="J94" s="6"/>
      <c r="K94" s="10"/>
      <c r="L94" s="10"/>
      <c r="M94" s="1"/>
      <c r="N94" s="1"/>
      <c r="O94" s="1"/>
      <c r="P94" s="1"/>
      <c r="Q94" s="13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ht="13.5" customHeight="1">
      <c r="A95" s="88">
        <f ca="1">IFERROR(__xludf.DUMMYFUNCTION("""COMPUTED_VALUE"""),96)</f>
        <v>96</v>
      </c>
      <c r="B95" s="2" t="str">
        <f ca="1">IFERROR(__xludf.DUMMYFUNCTION("""COMPUTED_VALUE"""),"نوره علي محمد الباتل")</f>
        <v>نوره علي محمد الباتل</v>
      </c>
      <c r="C95" s="3" t="str">
        <f ca="1">IFERROR(__xludf.DUMMYFUNCTION("""COMPUTED_VALUE"""),"Nbatel")</f>
        <v>Nbatel</v>
      </c>
      <c r="D95" s="25" t="str">
        <f ca="1">IFERROR(__xludf.DUMMYFUNCTION("""COMPUTED_VALUE"""),"داخلي")</f>
        <v>داخلي</v>
      </c>
      <c r="E95" s="12">
        <f ca="1">IFERROR(__xludf.DUMMYFUNCTION("""COMPUTED_VALUE"""),44566)</f>
        <v>44566</v>
      </c>
      <c r="F95" s="9">
        <f ca="1">IFERROR(__xludf.DUMMYFUNCTION("""COMPUTED_VALUE"""),44566)</f>
        <v>44566</v>
      </c>
      <c r="G95" s="4" t="str">
        <f ca="1">IFERROR(__xludf.DUMMYFUNCTION("""COMPUTED_VALUE"""),"عمل حر")</f>
        <v>عمل حر</v>
      </c>
      <c r="H95" s="89" t="str">
        <f ca="1">IFERROR(__xludf.DUMMYFUNCTION("""COMPUTED_VALUE"""),"أنثى")</f>
        <v>أنثى</v>
      </c>
      <c r="I95" s="4"/>
      <c r="J95" s="6"/>
      <c r="K95" s="10"/>
      <c r="L95" s="10"/>
      <c r="M95" s="1"/>
      <c r="N95" s="1"/>
      <c r="O95" s="1"/>
      <c r="P95" s="1"/>
      <c r="Q95" s="13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ht="13.5" customHeight="1">
      <c r="A96" s="88">
        <f ca="1">IFERROR(__xludf.DUMMYFUNCTION("""COMPUTED_VALUE"""),97)</f>
        <v>97</v>
      </c>
      <c r="B96" s="2" t="str">
        <f ca="1">IFERROR(__xludf.DUMMYFUNCTION("""COMPUTED_VALUE"""),"عبدالحكيم عبدالله محمد بن سعيد")</f>
        <v>عبدالحكيم عبدالله محمد بن سعيد</v>
      </c>
      <c r="C96" s="3" t="str">
        <f ca="1">IFERROR(__xludf.DUMMYFUNCTION("""COMPUTED_VALUE"""),"Abinsaeed")</f>
        <v>Abinsaeed</v>
      </c>
      <c r="D96" s="8" t="str">
        <f ca="1">IFERROR(__xludf.DUMMYFUNCTION("""COMPUTED_VALUE"""),"داخلي")</f>
        <v>داخلي</v>
      </c>
      <c r="E96" s="8">
        <f ca="1">IFERROR(__xludf.DUMMYFUNCTION("""COMPUTED_VALUE"""),44566)</f>
        <v>44566</v>
      </c>
      <c r="F96" s="9">
        <f ca="1">IFERROR(__xludf.DUMMYFUNCTION("""COMPUTED_VALUE"""),44566)</f>
        <v>44566</v>
      </c>
      <c r="G96" s="4" t="str">
        <f ca="1">IFERROR(__xludf.DUMMYFUNCTION("""COMPUTED_VALUE"""),"عمل حر")</f>
        <v>عمل حر</v>
      </c>
      <c r="H96" s="89" t="str">
        <f ca="1">IFERROR(__xludf.DUMMYFUNCTION("""COMPUTED_VALUE"""),"ذكر ")</f>
        <v xml:space="preserve">ذكر </v>
      </c>
      <c r="I96" s="4"/>
      <c r="J96" s="6"/>
      <c r="K96" s="6"/>
      <c r="L96" s="6"/>
      <c r="M96" s="1"/>
      <c r="N96" s="1"/>
      <c r="O96" s="1"/>
      <c r="P96" s="1"/>
      <c r="Q96" s="13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ht="13.5" customHeight="1">
      <c r="A97" s="88">
        <f ca="1">IFERROR(__xludf.DUMMYFUNCTION("""COMPUTED_VALUE"""),98)</f>
        <v>98</v>
      </c>
      <c r="B97" s="2" t="str">
        <f ca="1">IFERROR(__xludf.DUMMYFUNCTION("""COMPUTED_VALUE"""),"نوف عبدالعزيز محمد العمار")</f>
        <v>نوف عبدالعزيز محمد العمار</v>
      </c>
      <c r="C97" s="3" t="str">
        <f ca="1">IFERROR(__xludf.DUMMYFUNCTION("""COMPUTED_VALUE"""),"Noammar")</f>
        <v>Noammar</v>
      </c>
      <c r="D97" s="8" t="str">
        <f ca="1">IFERROR(__xludf.DUMMYFUNCTION("""COMPUTED_VALUE"""),"داخلي")</f>
        <v>داخلي</v>
      </c>
      <c r="E97" s="12">
        <f ca="1">IFERROR(__xludf.DUMMYFUNCTION("""COMPUTED_VALUE"""),44566)</f>
        <v>44566</v>
      </c>
      <c r="F97" s="9">
        <f ca="1">IFERROR(__xludf.DUMMYFUNCTION("""COMPUTED_VALUE"""),44566)</f>
        <v>44566</v>
      </c>
      <c r="G97" s="4" t="str">
        <f ca="1">IFERROR(__xludf.DUMMYFUNCTION("""COMPUTED_VALUE"""),"عمل حر")</f>
        <v>عمل حر</v>
      </c>
      <c r="H97" s="89" t="str">
        <f ca="1">IFERROR(__xludf.DUMMYFUNCTION("""COMPUTED_VALUE"""),"أنثى")</f>
        <v>أنثى</v>
      </c>
      <c r="I97" s="4"/>
      <c r="J97" s="6"/>
      <c r="K97" s="6"/>
      <c r="L97" s="6"/>
      <c r="M97" s="1"/>
      <c r="N97" s="1"/>
      <c r="O97" s="1"/>
      <c r="P97" s="1"/>
      <c r="Q97" s="13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ht="13.5" customHeight="1">
      <c r="A98" s="88">
        <f ca="1">IFERROR(__xludf.DUMMYFUNCTION("""COMPUTED_VALUE"""),99)</f>
        <v>99</v>
      </c>
      <c r="B98" s="2" t="str">
        <f ca="1">IFERROR(__xludf.DUMMYFUNCTION("""COMPUTED_VALUE"""),"العنود عبدالعزيز نائف المضيان")</f>
        <v>العنود عبدالعزيز نائف المضيان</v>
      </c>
      <c r="C98" s="3" t="str">
        <f ca="1">IFERROR(__xludf.DUMMYFUNCTION("""COMPUTED_VALUE"""),"Al.almodaian")</f>
        <v>Al.almodaian</v>
      </c>
      <c r="D98" s="8" t="str">
        <f ca="1">IFERROR(__xludf.DUMMYFUNCTION("""COMPUTED_VALUE"""),"داخلي")</f>
        <v>داخلي</v>
      </c>
      <c r="E98" s="8">
        <f ca="1">IFERROR(__xludf.DUMMYFUNCTION("""COMPUTED_VALUE"""),44566)</f>
        <v>44566</v>
      </c>
      <c r="F98" s="9">
        <f ca="1">IFERROR(__xludf.DUMMYFUNCTION("""COMPUTED_VALUE"""),44566)</f>
        <v>44566</v>
      </c>
      <c r="G98" s="4" t="str">
        <f ca="1">IFERROR(__xludf.DUMMYFUNCTION("""COMPUTED_VALUE"""),"عقد توظيف")</f>
        <v>عقد توظيف</v>
      </c>
      <c r="H98" s="89" t="str">
        <f ca="1">IFERROR(__xludf.DUMMYFUNCTION("""COMPUTED_VALUE"""),"أنثى")</f>
        <v>أنثى</v>
      </c>
      <c r="I98" s="4"/>
      <c r="J98" s="6"/>
      <c r="K98" s="6"/>
      <c r="L98" s="6"/>
      <c r="M98" s="1"/>
      <c r="N98" s="1"/>
      <c r="O98" s="1"/>
      <c r="P98" s="1"/>
      <c r="Q98" s="13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ht="13.5" customHeight="1">
      <c r="A99" s="88">
        <f ca="1">IFERROR(__xludf.DUMMYFUNCTION("""COMPUTED_VALUE"""),100)</f>
        <v>100</v>
      </c>
      <c r="B99" s="2" t="str">
        <f ca="1">IFERROR(__xludf.DUMMYFUNCTION("""COMPUTED_VALUE"""),"خديجه سليمان عبدالرحمن الرشيد")</f>
        <v>خديجه سليمان عبدالرحمن الرشيد</v>
      </c>
      <c r="C99" s="3" t="str">
        <f ca="1">IFERROR(__xludf.DUMMYFUNCTION("""COMPUTED_VALUE"""),"Khrasheed")</f>
        <v>Khrasheed</v>
      </c>
      <c r="D99" s="8" t="str">
        <f ca="1">IFERROR(__xludf.DUMMYFUNCTION("""COMPUTED_VALUE"""),"داخلي")</f>
        <v>داخلي</v>
      </c>
      <c r="E99" s="8">
        <f ca="1">IFERROR(__xludf.DUMMYFUNCTION("""COMPUTED_VALUE"""),44566)</f>
        <v>44566</v>
      </c>
      <c r="F99" s="9">
        <f ca="1">IFERROR(__xludf.DUMMYFUNCTION("""COMPUTED_VALUE"""),44566)</f>
        <v>44566</v>
      </c>
      <c r="G99" s="4" t="str">
        <f ca="1">IFERROR(__xludf.DUMMYFUNCTION("""COMPUTED_VALUE"""),"عقد توظيف")</f>
        <v>عقد توظيف</v>
      </c>
      <c r="H99" s="89" t="str">
        <f ca="1">IFERROR(__xludf.DUMMYFUNCTION("""COMPUTED_VALUE"""),"أنثى")</f>
        <v>أنثى</v>
      </c>
      <c r="I99" s="4"/>
      <c r="J99" s="6"/>
      <c r="K99" s="10"/>
      <c r="L99" s="10"/>
      <c r="M99" s="1"/>
      <c r="N99" s="1"/>
      <c r="O99" s="1"/>
      <c r="P99" s="1"/>
      <c r="Q99" s="13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ht="13.5" customHeight="1">
      <c r="A100" s="88">
        <f ca="1">IFERROR(__xludf.DUMMYFUNCTION("""COMPUTED_VALUE"""),101)</f>
        <v>101</v>
      </c>
      <c r="B100" s="2" t="str">
        <f ca="1">IFERROR(__xludf.DUMMYFUNCTION("""COMPUTED_VALUE"""),"ربى حمد محمد الوهيبي")</f>
        <v>ربى حمد محمد الوهيبي</v>
      </c>
      <c r="C100" s="3" t="str">
        <f ca="1">IFERROR(__xludf.DUMMYFUNCTION("""COMPUTED_VALUE"""),"Rwheebi")</f>
        <v>Rwheebi</v>
      </c>
      <c r="D100" s="8" t="str">
        <f ca="1">IFERROR(__xludf.DUMMYFUNCTION("""COMPUTED_VALUE"""),"داخلي")</f>
        <v>داخلي</v>
      </c>
      <c r="E100" s="12">
        <f ca="1">IFERROR(__xludf.DUMMYFUNCTION("""COMPUTED_VALUE"""),44566)</f>
        <v>44566</v>
      </c>
      <c r="F100" s="9">
        <f ca="1">IFERROR(__xludf.DUMMYFUNCTION("""COMPUTED_VALUE"""),44566)</f>
        <v>44566</v>
      </c>
      <c r="G100" s="4" t="str">
        <f ca="1">IFERROR(__xludf.DUMMYFUNCTION("""COMPUTED_VALUE"""),"عقد توظيف")</f>
        <v>عقد توظيف</v>
      </c>
      <c r="H100" s="89" t="str">
        <f ca="1">IFERROR(__xludf.DUMMYFUNCTION("""COMPUTED_VALUE"""),"أنثى")</f>
        <v>أنثى</v>
      </c>
      <c r="I100" s="4"/>
      <c r="J100" s="6"/>
      <c r="K100" s="10"/>
      <c r="L100" s="10"/>
      <c r="M100" s="1"/>
      <c r="N100" s="1"/>
      <c r="O100" s="1"/>
      <c r="P100" s="1"/>
      <c r="Q100" s="13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ht="13.5" customHeight="1">
      <c r="A101" s="88">
        <f ca="1">IFERROR(__xludf.DUMMYFUNCTION("""COMPUTED_VALUE"""),102)</f>
        <v>102</v>
      </c>
      <c r="B101" s="4" t="str">
        <f ca="1">IFERROR(__xludf.DUMMYFUNCTION("""COMPUTED_VALUE"""),"عهود خالد عبد العزيز ال عتيق")</f>
        <v>عهود خالد عبد العزيز ال عتيق</v>
      </c>
      <c r="C101" s="3" t="str">
        <f ca="1">IFERROR(__xludf.DUMMYFUNCTION("""COMPUTED_VALUE"""),"Oateeq")</f>
        <v>Oateeq</v>
      </c>
      <c r="D101" s="25" t="str">
        <f ca="1">IFERROR(__xludf.DUMMYFUNCTION("""COMPUTED_VALUE"""),"داخلي")</f>
        <v>داخلي</v>
      </c>
      <c r="E101" s="12">
        <f ca="1">IFERROR(__xludf.DUMMYFUNCTION("""COMPUTED_VALUE"""),44566)</f>
        <v>44566</v>
      </c>
      <c r="F101" s="12">
        <f ca="1">IFERROR(__xludf.DUMMYFUNCTION("""COMPUTED_VALUE"""),44566)</f>
        <v>44566</v>
      </c>
      <c r="G101" s="1" t="str">
        <f ca="1">IFERROR(__xludf.DUMMYFUNCTION("""COMPUTED_VALUE"""),"عقد توظيف")</f>
        <v>عقد توظيف</v>
      </c>
      <c r="H101" s="89" t="str">
        <f ca="1">IFERROR(__xludf.DUMMYFUNCTION("""COMPUTED_VALUE"""),"أنثى")</f>
        <v>أنثى</v>
      </c>
      <c r="I101" s="4"/>
      <c r="J101" s="6"/>
      <c r="K101" s="10"/>
      <c r="L101" s="10"/>
      <c r="M101" s="1"/>
      <c r="N101" s="1"/>
      <c r="O101" s="1"/>
      <c r="P101" s="1"/>
      <c r="Q101" s="13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ht="13.5" customHeight="1">
      <c r="A102" s="88">
        <f ca="1">IFERROR(__xludf.DUMMYFUNCTION("""COMPUTED_VALUE"""),103)</f>
        <v>103</v>
      </c>
      <c r="B102" s="4" t="str">
        <f ca="1">IFERROR(__xludf.DUMMYFUNCTION("""COMPUTED_VALUE"""),"ابراهيم عبدالكريم عبدالله التويجري")</f>
        <v>ابراهيم عبدالكريم عبدالله التويجري</v>
      </c>
      <c r="C102" s="3" t="str">
        <f ca="1">IFERROR(__xludf.DUMMYFUNCTION("""COMPUTED_VALUE"""),"Ituwaijre")</f>
        <v>Ituwaijre</v>
      </c>
      <c r="D102" s="25" t="str">
        <f ca="1">IFERROR(__xludf.DUMMYFUNCTION("""COMPUTED_VALUE"""),"داخلي")</f>
        <v>داخلي</v>
      </c>
      <c r="E102" s="12">
        <f ca="1">IFERROR(__xludf.DUMMYFUNCTION("""COMPUTED_VALUE"""),44566)</f>
        <v>44566</v>
      </c>
      <c r="F102" s="12">
        <f ca="1">IFERROR(__xludf.DUMMYFUNCTION("""COMPUTED_VALUE"""),44566)</f>
        <v>44566</v>
      </c>
      <c r="G102" s="1" t="str">
        <f ca="1">IFERROR(__xludf.DUMMYFUNCTION("""COMPUTED_VALUE"""),"عقد توظيف")</f>
        <v>عقد توظيف</v>
      </c>
      <c r="H102" s="89" t="str">
        <f ca="1">IFERROR(__xludf.DUMMYFUNCTION("""COMPUTED_VALUE"""),"ذكر ")</f>
        <v xml:space="preserve">ذكر </v>
      </c>
      <c r="I102" s="4"/>
      <c r="J102" s="6"/>
      <c r="K102" s="10"/>
      <c r="L102" s="10"/>
      <c r="M102" s="1"/>
      <c r="N102" s="1"/>
      <c r="O102" s="1"/>
      <c r="P102" s="1"/>
      <c r="Q102" s="13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 ht="13.5" customHeight="1">
      <c r="A103" s="88">
        <f ca="1">IFERROR(__xludf.DUMMYFUNCTION("""COMPUTED_VALUE"""),104)</f>
        <v>104</v>
      </c>
      <c r="B103" s="4" t="str">
        <f ca="1">IFERROR(__xludf.DUMMYFUNCTION("""COMPUTED_VALUE"""),"راكان بن خالد بن حزام القحطاني")</f>
        <v>راكان بن خالد بن حزام القحطاني</v>
      </c>
      <c r="C103" s="3" t="str">
        <f ca="1">IFERROR(__xludf.DUMMYFUNCTION("""COMPUTED_VALUE"""),"Rqahtani")</f>
        <v>Rqahtani</v>
      </c>
      <c r="D103" s="25" t="str">
        <f ca="1">IFERROR(__xludf.DUMMYFUNCTION("""COMPUTED_VALUE"""),"داخلي")</f>
        <v>داخلي</v>
      </c>
      <c r="E103" s="12">
        <f ca="1">IFERROR(__xludf.DUMMYFUNCTION("""COMPUTED_VALUE"""),44567)</f>
        <v>44567</v>
      </c>
      <c r="F103" s="12">
        <f ca="1">IFERROR(__xludf.DUMMYFUNCTION("""COMPUTED_VALUE"""),44567)</f>
        <v>44567</v>
      </c>
      <c r="G103" s="1" t="str">
        <f ca="1">IFERROR(__xludf.DUMMYFUNCTION("""COMPUTED_VALUE"""),"عمل حر")</f>
        <v>عمل حر</v>
      </c>
      <c r="H103" s="89" t="str">
        <f ca="1">IFERROR(__xludf.DUMMYFUNCTION("""COMPUTED_VALUE"""),"ذكر ")</f>
        <v xml:space="preserve">ذكر </v>
      </c>
      <c r="I103" s="1"/>
      <c r="J103" s="6"/>
      <c r="K103" s="10"/>
      <c r="L103" s="10"/>
      <c r="M103" s="1"/>
      <c r="N103" s="1"/>
      <c r="O103" s="1"/>
      <c r="P103" s="1"/>
      <c r="Q103" s="13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 ht="13.5" customHeight="1">
      <c r="A104" s="88">
        <f ca="1">IFERROR(__xludf.DUMMYFUNCTION("""COMPUTED_VALUE"""),105)</f>
        <v>105</v>
      </c>
      <c r="B104" s="4" t="str">
        <f ca="1">IFERROR(__xludf.DUMMYFUNCTION("""COMPUTED_VALUE"""),"لمياء مشعل علي الزهراني")</f>
        <v>لمياء مشعل علي الزهراني</v>
      </c>
      <c r="C104" s="3" t="str">
        <f ca="1">IFERROR(__xludf.DUMMYFUNCTION("""COMPUTED_VALUE"""),"Lzahrani")</f>
        <v>Lzahrani</v>
      </c>
      <c r="D104" s="25" t="str">
        <f ca="1">IFERROR(__xludf.DUMMYFUNCTION("""COMPUTED_VALUE"""),"داخلي")</f>
        <v>داخلي</v>
      </c>
      <c r="E104" s="12">
        <f ca="1">IFERROR(__xludf.DUMMYFUNCTION("""COMPUTED_VALUE"""),44567)</f>
        <v>44567</v>
      </c>
      <c r="F104" s="12">
        <f ca="1">IFERROR(__xludf.DUMMYFUNCTION("""COMPUTED_VALUE"""),44567)</f>
        <v>44567</v>
      </c>
      <c r="G104" s="1" t="str">
        <f ca="1">IFERROR(__xludf.DUMMYFUNCTION("""COMPUTED_VALUE"""),"عقد توظيف")</f>
        <v>عقد توظيف</v>
      </c>
      <c r="H104" s="89" t="str">
        <f ca="1">IFERROR(__xludf.DUMMYFUNCTION("""COMPUTED_VALUE"""),"أنثى")</f>
        <v>أنثى</v>
      </c>
      <c r="I104" s="1"/>
      <c r="J104" s="6"/>
      <c r="K104" s="10"/>
      <c r="L104" s="10"/>
      <c r="M104" s="1"/>
      <c r="N104" s="1"/>
      <c r="O104" s="1"/>
      <c r="P104" s="1"/>
      <c r="Q104" s="13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spans="1:42" ht="13.5" customHeight="1">
      <c r="A105" s="88">
        <f ca="1">IFERROR(__xludf.DUMMYFUNCTION("""COMPUTED_VALUE"""),106)</f>
        <v>106</v>
      </c>
      <c r="B105" s="4" t="str">
        <f ca="1">IFERROR(__xludf.DUMMYFUNCTION("""COMPUTED_VALUE"""),"زيد عبدالله علي العودة")</f>
        <v>زيد عبدالله علي العودة</v>
      </c>
      <c r="C105" s="3" t="str">
        <f ca="1">IFERROR(__xludf.DUMMYFUNCTION("""COMPUTED_VALUE"""),"Zodah")</f>
        <v>Zodah</v>
      </c>
      <c r="D105" s="25" t="str">
        <f ca="1">IFERROR(__xludf.DUMMYFUNCTION("""COMPUTED_VALUE"""),"داخلي")</f>
        <v>داخلي</v>
      </c>
      <c r="E105" s="12">
        <f ca="1">IFERROR(__xludf.DUMMYFUNCTION("""COMPUTED_VALUE"""),44567)</f>
        <v>44567</v>
      </c>
      <c r="F105" s="12">
        <f ca="1">IFERROR(__xludf.DUMMYFUNCTION("""COMPUTED_VALUE"""),44567)</f>
        <v>44567</v>
      </c>
      <c r="G105" s="1" t="str">
        <f ca="1">IFERROR(__xludf.DUMMYFUNCTION("""COMPUTED_VALUE"""),"عقد توظيف")</f>
        <v>عقد توظيف</v>
      </c>
      <c r="H105" s="89" t="str">
        <f ca="1">IFERROR(__xludf.DUMMYFUNCTION("""COMPUTED_VALUE"""),"ذكر ")</f>
        <v xml:space="preserve">ذكر </v>
      </c>
      <c r="I105" s="1"/>
      <c r="J105" s="6"/>
      <c r="K105" s="10"/>
      <c r="L105" s="10"/>
      <c r="M105" s="1"/>
      <c r="N105" s="1"/>
      <c r="O105" s="1"/>
      <c r="P105" s="1"/>
      <c r="Q105" s="13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</row>
    <row r="106" spans="1:42" ht="13.5" customHeight="1">
      <c r="A106" s="88">
        <f ca="1">IFERROR(__xludf.DUMMYFUNCTION("""COMPUTED_VALUE"""),107)</f>
        <v>107</v>
      </c>
      <c r="B106" s="4" t="str">
        <f ca="1">IFERROR(__xludf.DUMMYFUNCTION("""COMPUTED_VALUE"""),"البندري ضيدان ذعار العتيبي")</f>
        <v>البندري ضيدان ذعار العتيبي</v>
      </c>
      <c r="C106" s="3" t="str">
        <f ca="1">IFERROR(__xludf.DUMMYFUNCTION("""COMPUTED_VALUE"""),"Bnotaibi")</f>
        <v>Bnotaibi</v>
      </c>
      <c r="D106" s="25" t="str">
        <f ca="1">IFERROR(__xludf.DUMMYFUNCTION("""COMPUTED_VALUE"""),"داخلي")</f>
        <v>داخلي</v>
      </c>
      <c r="E106" s="12">
        <f ca="1">IFERROR(__xludf.DUMMYFUNCTION("""COMPUTED_VALUE"""),44567)</f>
        <v>44567</v>
      </c>
      <c r="F106" s="12">
        <f ca="1">IFERROR(__xludf.DUMMYFUNCTION("""COMPUTED_VALUE"""),44567)</f>
        <v>44567</v>
      </c>
      <c r="G106" s="1" t="str">
        <f ca="1">IFERROR(__xludf.DUMMYFUNCTION("""COMPUTED_VALUE"""),"عقد توظيف")</f>
        <v>عقد توظيف</v>
      </c>
      <c r="H106" s="89" t="str">
        <f ca="1">IFERROR(__xludf.DUMMYFUNCTION("""COMPUTED_VALUE"""),"أنثى")</f>
        <v>أنثى</v>
      </c>
      <c r="I106" s="1"/>
      <c r="J106" s="6"/>
      <c r="K106" s="10"/>
      <c r="L106" s="10"/>
      <c r="M106" s="1"/>
      <c r="N106" s="1"/>
      <c r="O106" s="1"/>
      <c r="P106" s="1"/>
      <c r="Q106" s="13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spans="1:42" ht="13.5" customHeight="1">
      <c r="A107" s="88">
        <f ca="1">IFERROR(__xludf.DUMMYFUNCTION("""COMPUTED_VALUE"""),108)</f>
        <v>108</v>
      </c>
      <c r="B107" s="4" t="str">
        <f ca="1">IFERROR(__xludf.DUMMYFUNCTION("""COMPUTED_VALUE"""),"العنود احمد صالح الفوزان")</f>
        <v>العنود احمد صالح الفوزان</v>
      </c>
      <c r="C107" s="3" t="str">
        <f ca="1">IFERROR(__xludf.DUMMYFUNCTION("""COMPUTED_VALUE"""),"Anfozan")</f>
        <v>Anfozan</v>
      </c>
      <c r="D107" s="25" t="str">
        <f ca="1">IFERROR(__xludf.DUMMYFUNCTION("""COMPUTED_VALUE"""),"داخلي")</f>
        <v>داخلي</v>
      </c>
      <c r="E107" s="12">
        <f ca="1">IFERROR(__xludf.DUMMYFUNCTION("""COMPUTED_VALUE"""),44567)</f>
        <v>44567</v>
      </c>
      <c r="F107" s="12">
        <f ca="1">IFERROR(__xludf.DUMMYFUNCTION("""COMPUTED_VALUE"""),44567)</f>
        <v>44567</v>
      </c>
      <c r="G107" s="1" t="str">
        <f ca="1">IFERROR(__xludf.DUMMYFUNCTION("""COMPUTED_VALUE"""),"عقد توظيف")</f>
        <v>عقد توظيف</v>
      </c>
      <c r="H107" s="89" t="str">
        <f ca="1">IFERROR(__xludf.DUMMYFUNCTION("""COMPUTED_VALUE"""),"أنثى")</f>
        <v>أنثى</v>
      </c>
      <c r="I107" s="1"/>
      <c r="J107" s="6"/>
      <c r="K107" s="10"/>
      <c r="L107" s="10"/>
      <c r="M107" s="1"/>
      <c r="N107" s="1"/>
      <c r="O107" s="1"/>
      <c r="P107" s="1"/>
      <c r="Q107" s="13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spans="1:42" ht="13.5" customHeight="1">
      <c r="A108" s="88">
        <f ca="1">IFERROR(__xludf.DUMMYFUNCTION("""COMPUTED_VALUE"""),109)</f>
        <v>109</v>
      </c>
      <c r="B108" s="4" t="str">
        <f ca="1">IFERROR(__xludf.DUMMYFUNCTION("""COMPUTED_VALUE"""),"دانه سعد محمد القيضي")</f>
        <v>دانه سعد محمد القيضي</v>
      </c>
      <c r="C108" s="3" t="str">
        <f ca="1">IFERROR(__xludf.DUMMYFUNCTION("""COMPUTED_VALUE"""),"Dghaidi")</f>
        <v>Dghaidi</v>
      </c>
      <c r="D108" s="25" t="str">
        <f ca="1">IFERROR(__xludf.DUMMYFUNCTION("""COMPUTED_VALUE"""),"داخلي")</f>
        <v>داخلي</v>
      </c>
      <c r="E108" s="12">
        <f ca="1">IFERROR(__xludf.DUMMYFUNCTION("""COMPUTED_VALUE"""),44567)</f>
        <v>44567</v>
      </c>
      <c r="F108" s="12">
        <f ca="1">IFERROR(__xludf.DUMMYFUNCTION("""COMPUTED_VALUE"""),44567)</f>
        <v>44567</v>
      </c>
      <c r="G108" s="1" t="str">
        <f ca="1">IFERROR(__xludf.DUMMYFUNCTION("""COMPUTED_VALUE"""),"عقد توظيف")</f>
        <v>عقد توظيف</v>
      </c>
      <c r="H108" s="89" t="str">
        <f ca="1">IFERROR(__xludf.DUMMYFUNCTION("""COMPUTED_VALUE"""),"أنثى")</f>
        <v>أنثى</v>
      </c>
      <c r="I108" s="1"/>
      <c r="J108" s="6"/>
      <c r="K108" s="10"/>
      <c r="L108" s="10"/>
      <c r="M108" s="1"/>
      <c r="N108" s="1"/>
      <c r="O108" s="1"/>
      <c r="P108" s="1"/>
      <c r="Q108" s="13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spans="1:42" ht="13.5" customHeight="1">
      <c r="A109" s="88">
        <f ca="1">IFERROR(__xludf.DUMMYFUNCTION("""COMPUTED_VALUE"""),110)</f>
        <v>110</v>
      </c>
      <c r="B109" s="4" t="str">
        <f ca="1">IFERROR(__xludf.DUMMYFUNCTION("""COMPUTED_VALUE"""),"سلطان خالد عبدالرحمن السليمان")</f>
        <v>سلطان خالد عبدالرحمن السليمان</v>
      </c>
      <c r="C109" s="3" t="str">
        <f ca="1">IFERROR(__xludf.DUMMYFUNCTION("""COMPUTED_VALUE"""),"Ssulaiman")</f>
        <v>Ssulaiman</v>
      </c>
      <c r="D109" s="8" t="str">
        <f ca="1">IFERROR(__xludf.DUMMYFUNCTION("""COMPUTED_VALUE"""),"داخلي")</f>
        <v>داخلي</v>
      </c>
      <c r="E109" s="12">
        <f ca="1">IFERROR(__xludf.DUMMYFUNCTION("""COMPUTED_VALUE"""),44567)</f>
        <v>44567</v>
      </c>
      <c r="F109" s="9">
        <f ca="1">IFERROR(__xludf.DUMMYFUNCTION("""COMPUTED_VALUE"""),44567)</f>
        <v>44567</v>
      </c>
      <c r="G109" s="1" t="str">
        <f ca="1">IFERROR(__xludf.DUMMYFUNCTION("""COMPUTED_VALUE"""),"عقد توظيف")</f>
        <v>عقد توظيف</v>
      </c>
      <c r="H109" s="89" t="str">
        <f ca="1">IFERROR(__xludf.DUMMYFUNCTION("""COMPUTED_VALUE"""),"ذكر ")</f>
        <v xml:space="preserve">ذكر </v>
      </c>
      <c r="I109" s="1"/>
      <c r="J109" s="6"/>
      <c r="K109" s="10"/>
      <c r="L109" s="10"/>
      <c r="M109" s="1"/>
      <c r="N109" s="1"/>
      <c r="O109" s="1"/>
      <c r="P109" s="1"/>
      <c r="Q109" s="13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spans="1:42" ht="13.5" customHeight="1">
      <c r="A110" s="88">
        <f ca="1">IFERROR(__xludf.DUMMYFUNCTION("""COMPUTED_VALUE"""),111)</f>
        <v>111</v>
      </c>
      <c r="B110" s="4" t="str">
        <f ca="1">IFERROR(__xludf.DUMMYFUNCTION("""COMPUTED_VALUE"""),"شروق عبدالعزيز محمد العمار")</f>
        <v>شروق عبدالعزيز محمد العمار</v>
      </c>
      <c r="C110" s="3" t="str">
        <f ca="1">IFERROR(__xludf.DUMMYFUNCTION("""COMPUTED_VALUE"""),"Shammar")</f>
        <v>Shammar</v>
      </c>
      <c r="D110" s="8" t="str">
        <f ca="1">IFERROR(__xludf.DUMMYFUNCTION("""COMPUTED_VALUE"""),"داخلي")</f>
        <v>داخلي</v>
      </c>
      <c r="E110" s="12">
        <f ca="1">IFERROR(__xludf.DUMMYFUNCTION("""COMPUTED_VALUE"""),44567)</f>
        <v>44567</v>
      </c>
      <c r="F110" s="9">
        <f ca="1">IFERROR(__xludf.DUMMYFUNCTION("""COMPUTED_VALUE"""),44567)</f>
        <v>44567</v>
      </c>
      <c r="G110" s="1" t="str">
        <f ca="1">IFERROR(__xludf.DUMMYFUNCTION("""COMPUTED_VALUE"""),"عقد توظيف")</f>
        <v>عقد توظيف</v>
      </c>
      <c r="H110" s="89" t="str">
        <f ca="1">IFERROR(__xludf.DUMMYFUNCTION("""COMPUTED_VALUE"""),"أنثى")</f>
        <v>أنثى</v>
      </c>
      <c r="I110" s="1"/>
      <c r="J110" s="6"/>
      <c r="K110" s="10"/>
      <c r="L110" s="10"/>
      <c r="M110" s="1"/>
      <c r="N110" s="1"/>
      <c r="O110" s="1"/>
      <c r="P110" s="1"/>
      <c r="Q110" s="13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spans="1:42" ht="13.5" customHeight="1">
      <c r="A111" s="88">
        <f ca="1">IFERROR(__xludf.DUMMYFUNCTION("""COMPUTED_VALUE"""),112)</f>
        <v>112</v>
      </c>
      <c r="B111" s="4" t="str">
        <f ca="1">IFERROR(__xludf.DUMMYFUNCTION("""COMPUTED_VALUE"""),"فاتن بندر شمشول الحربي")</f>
        <v>فاتن بندر شمشول الحربي</v>
      </c>
      <c r="C111" s="3" t="str">
        <f ca="1">IFERROR(__xludf.DUMMYFUNCTION("""COMPUTED_VALUE"""),"Fharbi")</f>
        <v>Fharbi</v>
      </c>
      <c r="D111" s="8" t="str">
        <f ca="1">IFERROR(__xludf.DUMMYFUNCTION("""COMPUTED_VALUE"""),"داخلي")</f>
        <v>داخلي</v>
      </c>
      <c r="E111" s="12">
        <f ca="1">IFERROR(__xludf.DUMMYFUNCTION("""COMPUTED_VALUE"""),44567)</f>
        <v>44567</v>
      </c>
      <c r="F111" s="9">
        <f ca="1">IFERROR(__xludf.DUMMYFUNCTION("""COMPUTED_VALUE"""),44567)</f>
        <v>44567</v>
      </c>
      <c r="G111" s="1" t="str">
        <f ca="1">IFERROR(__xludf.DUMMYFUNCTION("""COMPUTED_VALUE"""),"عقد توظيف")</f>
        <v>عقد توظيف</v>
      </c>
      <c r="H111" s="89" t="str">
        <f ca="1">IFERROR(__xludf.DUMMYFUNCTION("""COMPUTED_VALUE"""),"أنثى")</f>
        <v>أنثى</v>
      </c>
      <c r="I111" s="1"/>
      <c r="J111" s="6"/>
      <c r="K111" s="10"/>
      <c r="L111" s="10"/>
      <c r="M111" s="1"/>
      <c r="N111" s="1"/>
      <c r="O111" s="1"/>
      <c r="P111" s="1"/>
      <c r="Q111" s="13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spans="1:42" ht="13.5" customHeight="1">
      <c r="A112" s="88">
        <f ca="1">IFERROR(__xludf.DUMMYFUNCTION("""COMPUTED_VALUE"""),113)</f>
        <v>113</v>
      </c>
      <c r="B112" s="4" t="str">
        <f ca="1">IFERROR(__xludf.DUMMYFUNCTION("""COMPUTED_VALUE"""),"فهد صقر محمد العنقودي")</f>
        <v>فهد صقر محمد العنقودي</v>
      </c>
      <c r="C112" s="3" t="str">
        <f ca="1">IFERROR(__xludf.DUMMYFUNCTION("""COMPUTED_VALUE"""),"Fangodi")</f>
        <v>Fangodi</v>
      </c>
      <c r="D112" s="25" t="str">
        <f ca="1">IFERROR(__xludf.DUMMYFUNCTION("""COMPUTED_VALUE"""),"داخلي")</f>
        <v>داخلي</v>
      </c>
      <c r="E112" s="12">
        <f ca="1">IFERROR(__xludf.DUMMYFUNCTION("""COMPUTED_VALUE"""),44567)</f>
        <v>44567</v>
      </c>
      <c r="F112" s="12">
        <f ca="1">IFERROR(__xludf.DUMMYFUNCTION("""COMPUTED_VALUE"""),44570)</f>
        <v>44570</v>
      </c>
      <c r="G112" s="1" t="str">
        <f ca="1">IFERROR(__xludf.DUMMYFUNCTION("""COMPUTED_VALUE"""),"عقد توظيف")</f>
        <v>عقد توظيف</v>
      </c>
      <c r="H112" s="89" t="str">
        <f ca="1">IFERROR(__xludf.DUMMYFUNCTION("""COMPUTED_VALUE"""),"ذكر ")</f>
        <v xml:space="preserve">ذكر </v>
      </c>
      <c r="I112" s="1"/>
      <c r="J112" s="6"/>
      <c r="K112" s="10"/>
      <c r="L112" s="10"/>
      <c r="M112" s="1"/>
      <c r="N112" s="1"/>
      <c r="O112" s="1"/>
      <c r="P112" s="1"/>
      <c r="Q112" s="13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spans="1:42" ht="13.5" customHeight="1">
      <c r="A113" s="88">
        <f ca="1">IFERROR(__xludf.DUMMYFUNCTION("""COMPUTED_VALUE"""),114)</f>
        <v>114</v>
      </c>
      <c r="B113" s="4" t="str">
        <f ca="1">IFERROR(__xludf.DUMMYFUNCTION("""COMPUTED_VALUE"""),"ديمة بنت محمد زيد الوهيبي")</f>
        <v>ديمة بنت محمد زيد الوهيبي</v>
      </c>
      <c r="C113" s="3" t="str">
        <f ca="1">IFERROR(__xludf.DUMMYFUNCTION("""COMPUTED_VALUE"""),"Dwhaibi")</f>
        <v>Dwhaibi</v>
      </c>
      <c r="D113" s="25" t="str">
        <f ca="1">IFERROR(__xludf.DUMMYFUNCTION("""COMPUTED_VALUE"""),"داخلي")</f>
        <v>داخلي</v>
      </c>
      <c r="E113" s="12">
        <f ca="1">IFERROR(__xludf.DUMMYFUNCTION("""COMPUTED_VALUE"""),44570)</f>
        <v>44570</v>
      </c>
      <c r="F113" s="12">
        <f ca="1">IFERROR(__xludf.DUMMYFUNCTION("""COMPUTED_VALUE"""),44570)</f>
        <v>44570</v>
      </c>
      <c r="G113" s="1" t="str">
        <f ca="1">IFERROR(__xludf.DUMMYFUNCTION("""COMPUTED_VALUE"""),"عمل حر")</f>
        <v>عمل حر</v>
      </c>
      <c r="H113" s="89" t="str">
        <f ca="1">IFERROR(__xludf.DUMMYFUNCTION("""COMPUTED_VALUE"""),"أنثى")</f>
        <v>أنثى</v>
      </c>
      <c r="I113" s="1"/>
      <c r="J113" s="6"/>
      <c r="K113" s="10"/>
      <c r="L113" s="10"/>
      <c r="M113" s="1"/>
      <c r="N113" s="1"/>
      <c r="O113" s="1"/>
      <c r="P113" s="1"/>
      <c r="Q113" s="13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spans="1:42" ht="13.5" customHeight="1">
      <c r="A114" s="88">
        <f ca="1">IFERROR(__xludf.DUMMYFUNCTION("""COMPUTED_VALUE"""),115)</f>
        <v>115</v>
      </c>
      <c r="B114" s="1" t="str">
        <f ca="1">IFERROR(__xludf.DUMMYFUNCTION("""COMPUTED_VALUE"""),"عبدالله راشد مطلق الشايعي")</f>
        <v>عبدالله راشد مطلق الشايعي</v>
      </c>
      <c r="C114" s="3" t="str">
        <f ca="1">IFERROR(__xludf.DUMMYFUNCTION("""COMPUTED_VALUE"""),"Ashayee")</f>
        <v>Ashayee</v>
      </c>
      <c r="D114" s="25" t="str">
        <f ca="1">IFERROR(__xludf.DUMMYFUNCTION("""COMPUTED_VALUE"""),"داخلي")</f>
        <v>داخلي</v>
      </c>
      <c r="E114" s="12">
        <f ca="1">IFERROR(__xludf.DUMMYFUNCTION("""COMPUTED_VALUE"""),44571)</f>
        <v>44571</v>
      </c>
      <c r="F114" s="12">
        <f ca="1">IFERROR(__xludf.DUMMYFUNCTION("""COMPUTED_VALUE"""),44572)</f>
        <v>44572</v>
      </c>
      <c r="G114" s="1" t="str">
        <f ca="1">IFERROR(__xludf.DUMMYFUNCTION("""COMPUTED_VALUE"""),"عمل حر")</f>
        <v>عمل حر</v>
      </c>
      <c r="H114" s="89" t="str">
        <f ca="1">IFERROR(__xludf.DUMMYFUNCTION("""COMPUTED_VALUE"""),"ذكر ")</f>
        <v xml:space="preserve">ذكر </v>
      </c>
      <c r="I114" s="1"/>
      <c r="J114" s="6"/>
      <c r="K114" s="10"/>
      <c r="L114" s="10"/>
      <c r="M114" s="1"/>
      <c r="N114" s="1"/>
      <c r="O114" s="1"/>
      <c r="P114" s="1"/>
      <c r="Q114" s="13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spans="1:42" ht="13.5" customHeight="1">
      <c r="A115" s="88">
        <f ca="1">IFERROR(__xludf.DUMMYFUNCTION("""COMPUTED_VALUE"""),116)</f>
        <v>116</v>
      </c>
      <c r="B115" s="1" t="str">
        <f ca="1">IFERROR(__xludf.DUMMYFUNCTION("""COMPUTED_VALUE"""),"عبدالرحمن بن حمد الوهيبي")</f>
        <v>عبدالرحمن بن حمد الوهيبي</v>
      </c>
      <c r="C115" s="3" t="str">
        <f ca="1">IFERROR(__xludf.DUMMYFUNCTION("""COMPUTED_VALUE"""),"Aawheebi")</f>
        <v>Aawheebi</v>
      </c>
      <c r="D115" s="25" t="str">
        <f ca="1">IFERROR(__xludf.DUMMYFUNCTION("""COMPUTED_VALUE"""),"داخلي")</f>
        <v>داخلي</v>
      </c>
      <c r="E115" s="12">
        <f ca="1">IFERROR(__xludf.DUMMYFUNCTION("""COMPUTED_VALUE"""),44570)</f>
        <v>44570</v>
      </c>
      <c r="F115" s="12">
        <f ca="1">IFERROR(__xludf.DUMMYFUNCTION("""COMPUTED_VALUE"""),44572)</f>
        <v>44572</v>
      </c>
      <c r="G115" s="1" t="str">
        <f ca="1">IFERROR(__xludf.DUMMYFUNCTION("""COMPUTED_VALUE"""),"عمل حر")</f>
        <v>عمل حر</v>
      </c>
      <c r="H115" s="89" t="str">
        <f ca="1">IFERROR(__xludf.DUMMYFUNCTION("""COMPUTED_VALUE"""),"ذكر ")</f>
        <v xml:space="preserve">ذكر </v>
      </c>
      <c r="I115" s="1"/>
      <c r="J115" s="6"/>
      <c r="K115" s="6"/>
      <c r="L115" s="6"/>
      <c r="M115" s="1"/>
      <c r="N115" s="1"/>
      <c r="O115" s="1"/>
      <c r="P115" s="1"/>
      <c r="Q115" s="13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spans="1:42" ht="13.5" customHeight="1">
      <c r="A116" s="88">
        <f ca="1">IFERROR(__xludf.DUMMYFUNCTION("""COMPUTED_VALUE"""),117)</f>
        <v>117</v>
      </c>
      <c r="B116" s="1" t="str">
        <f ca="1">IFERROR(__xludf.DUMMYFUNCTION("""COMPUTED_VALUE"""),"محمد عبدالله اليوسف")</f>
        <v>محمد عبدالله اليوسف</v>
      </c>
      <c r="C116" s="3" t="str">
        <f ca="1">IFERROR(__xludf.DUMMYFUNCTION("""COMPUTED_VALUE"""),"Maalsoilm")</f>
        <v>Maalsoilm</v>
      </c>
      <c r="D116" s="25" t="str">
        <f ca="1">IFERROR(__xludf.DUMMYFUNCTION("""COMPUTED_VALUE"""),"داخلي")</f>
        <v>داخلي</v>
      </c>
      <c r="E116" s="12">
        <f ca="1">IFERROR(__xludf.DUMMYFUNCTION("""COMPUTED_VALUE"""),44577)</f>
        <v>44577</v>
      </c>
      <c r="F116" s="1"/>
      <c r="G116" s="1" t="str">
        <f ca="1">IFERROR(__xludf.DUMMYFUNCTION("""COMPUTED_VALUE"""),"عمل حر")</f>
        <v>عمل حر</v>
      </c>
      <c r="H116" s="89" t="str">
        <f ca="1">IFERROR(__xludf.DUMMYFUNCTION("""COMPUTED_VALUE"""),"ذكر ")</f>
        <v xml:space="preserve">ذكر </v>
      </c>
      <c r="I116" s="1"/>
      <c r="J116" s="6"/>
      <c r="K116" s="10"/>
      <c r="L116" s="10"/>
      <c r="M116" s="1"/>
      <c r="N116" s="1"/>
      <c r="O116" s="1"/>
      <c r="P116" s="1"/>
      <c r="Q116" s="13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spans="1:42" ht="13.5" customHeight="1">
      <c r="A117" s="88">
        <f ca="1">IFERROR(__xludf.DUMMYFUNCTION("""COMPUTED_VALUE"""),118)</f>
        <v>118</v>
      </c>
      <c r="B117" s="1" t="str">
        <f ca="1">IFERROR(__xludf.DUMMYFUNCTION("""COMPUTED_VALUE"""),"أسماء سعيد فايز الدوسري")</f>
        <v>أسماء سعيد فايز الدوسري</v>
      </c>
      <c r="C117" s="3" t="str">
        <f ca="1">IFERROR(__xludf.DUMMYFUNCTION("""COMPUTED_VALUE"""),"Asdosari")</f>
        <v>Asdosari</v>
      </c>
      <c r="D117" s="25" t="str">
        <f ca="1">IFERROR(__xludf.DUMMYFUNCTION("""COMPUTED_VALUE"""),"داخلي")</f>
        <v>داخلي</v>
      </c>
      <c r="E117" s="12">
        <f ca="1">IFERROR(__xludf.DUMMYFUNCTION("""COMPUTED_VALUE"""),44570)</f>
        <v>44570</v>
      </c>
      <c r="F117" s="12">
        <f ca="1">IFERROR(__xludf.DUMMYFUNCTION("""COMPUTED_VALUE"""),44570)</f>
        <v>44570</v>
      </c>
      <c r="G117" s="1" t="str">
        <f ca="1">IFERROR(__xludf.DUMMYFUNCTION("""COMPUTED_VALUE"""),"عقد توظيف")</f>
        <v>عقد توظيف</v>
      </c>
      <c r="H117" s="89" t="str">
        <f ca="1">IFERROR(__xludf.DUMMYFUNCTION("""COMPUTED_VALUE"""),"أنثى")</f>
        <v>أنثى</v>
      </c>
      <c r="I117" s="1"/>
      <c r="J117" s="6"/>
      <c r="K117" s="10"/>
      <c r="L117" s="10"/>
      <c r="M117" s="1"/>
      <c r="N117" s="1"/>
      <c r="O117" s="1"/>
      <c r="P117" s="1"/>
      <c r="Q117" s="13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spans="1:42" ht="13.5" customHeight="1">
      <c r="A118" s="88">
        <f ca="1">IFERROR(__xludf.DUMMYFUNCTION("""COMPUTED_VALUE"""),119)</f>
        <v>119</v>
      </c>
      <c r="B118" s="1" t="str">
        <f ca="1">IFERROR(__xludf.DUMMYFUNCTION("""COMPUTED_VALUE"""),"لنا عبدالله علي الدخيل")</f>
        <v>لنا عبدالله علي الدخيل</v>
      </c>
      <c r="C118" s="3" t="str">
        <f ca="1">IFERROR(__xludf.DUMMYFUNCTION("""COMPUTED_VALUE"""),"Ldakheel")</f>
        <v>Ldakheel</v>
      </c>
      <c r="D118" s="25" t="str">
        <f ca="1">IFERROR(__xludf.DUMMYFUNCTION("""COMPUTED_VALUE"""),"داخلي")</f>
        <v>داخلي</v>
      </c>
      <c r="E118" s="12">
        <f ca="1">IFERROR(__xludf.DUMMYFUNCTION("""COMPUTED_VALUE"""),44570)</f>
        <v>44570</v>
      </c>
      <c r="F118" s="12">
        <f ca="1">IFERROR(__xludf.DUMMYFUNCTION("""COMPUTED_VALUE"""),44570)</f>
        <v>44570</v>
      </c>
      <c r="G118" s="1" t="str">
        <f ca="1">IFERROR(__xludf.DUMMYFUNCTION("""COMPUTED_VALUE"""),"عقد توظيف")</f>
        <v>عقد توظيف</v>
      </c>
      <c r="H118" s="89" t="str">
        <f ca="1">IFERROR(__xludf.DUMMYFUNCTION("""COMPUTED_VALUE"""),"أنثى")</f>
        <v>أنثى</v>
      </c>
      <c r="I118" s="1"/>
      <c r="J118" s="6"/>
      <c r="K118" s="10"/>
      <c r="L118" s="10"/>
      <c r="M118" s="1"/>
      <c r="N118" s="1"/>
      <c r="O118" s="1"/>
      <c r="P118" s="1"/>
      <c r="Q118" s="13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:42" ht="13.5" customHeight="1">
      <c r="A119" s="88">
        <f ca="1">IFERROR(__xludf.DUMMYFUNCTION("""COMPUTED_VALUE"""),120)</f>
        <v>120</v>
      </c>
      <c r="B119" s="1" t="str">
        <f ca="1">IFERROR(__xludf.DUMMYFUNCTION("""COMPUTED_VALUE"""),"لمياء يحيى عيسى الشهراني")</f>
        <v>لمياء يحيى عيسى الشهراني</v>
      </c>
      <c r="C119" s="3" t="str">
        <f ca="1">IFERROR(__xludf.DUMMYFUNCTION("""COMPUTED_VALUE"""),"Lshahrani")</f>
        <v>Lshahrani</v>
      </c>
      <c r="D119" s="25" t="str">
        <f ca="1">IFERROR(__xludf.DUMMYFUNCTION("""COMPUTED_VALUE"""),"داخلي")</f>
        <v>داخلي</v>
      </c>
      <c r="E119" s="12">
        <f ca="1">IFERROR(__xludf.DUMMYFUNCTION("""COMPUTED_VALUE"""),44570)</f>
        <v>44570</v>
      </c>
      <c r="F119" s="12">
        <f ca="1">IFERROR(__xludf.DUMMYFUNCTION("""COMPUTED_VALUE"""),44570)</f>
        <v>44570</v>
      </c>
      <c r="G119" s="1" t="str">
        <f ca="1">IFERROR(__xludf.DUMMYFUNCTION("""COMPUTED_VALUE"""),"عقد توظيف")</f>
        <v>عقد توظيف</v>
      </c>
      <c r="H119" s="89" t="str">
        <f ca="1">IFERROR(__xludf.DUMMYFUNCTION("""COMPUTED_VALUE"""),"أنثى")</f>
        <v>أنثى</v>
      </c>
      <c r="I119" s="1"/>
      <c r="J119" s="6"/>
      <c r="K119" s="10"/>
      <c r="L119" s="10"/>
      <c r="M119" s="1"/>
      <c r="N119" s="1"/>
      <c r="O119" s="1"/>
      <c r="P119" s="1"/>
      <c r="Q119" s="13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 ht="13.5" customHeight="1">
      <c r="A120" s="88">
        <f ca="1">IFERROR(__xludf.DUMMYFUNCTION("""COMPUTED_VALUE"""),121)</f>
        <v>121</v>
      </c>
      <c r="B120" s="1" t="str">
        <f ca="1">IFERROR(__xludf.DUMMYFUNCTION("""COMPUTED_VALUE"""),"عبدالله بن فيصل بن مطلق ابوثنين")</f>
        <v>عبدالله بن فيصل بن مطلق ابوثنين</v>
      </c>
      <c r="C120" s="3" t="str">
        <f ca="1">IFERROR(__xludf.DUMMYFUNCTION("""COMPUTED_VALUE"""),"Aabuthnain")</f>
        <v>Aabuthnain</v>
      </c>
      <c r="D120" s="25" t="str">
        <f ca="1">IFERROR(__xludf.DUMMYFUNCTION("""COMPUTED_VALUE"""),"داخلي")</f>
        <v>داخلي</v>
      </c>
      <c r="E120" s="12">
        <f ca="1">IFERROR(__xludf.DUMMYFUNCTION("""COMPUTED_VALUE"""),44570)</f>
        <v>44570</v>
      </c>
      <c r="F120" s="12">
        <f ca="1">IFERROR(__xludf.DUMMYFUNCTION("""COMPUTED_VALUE"""),44570)</f>
        <v>44570</v>
      </c>
      <c r="G120" s="1" t="str">
        <f ca="1">IFERROR(__xludf.DUMMYFUNCTION("""COMPUTED_VALUE"""),"عقد توظيف")</f>
        <v>عقد توظيف</v>
      </c>
      <c r="H120" s="89" t="str">
        <f ca="1">IFERROR(__xludf.DUMMYFUNCTION("""COMPUTED_VALUE"""),"ذكر ")</f>
        <v xml:space="preserve">ذكر </v>
      </c>
      <c r="I120" s="1"/>
      <c r="J120" s="6"/>
      <c r="K120" s="10"/>
      <c r="L120" s="10"/>
      <c r="M120" s="1"/>
      <c r="N120" s="1"/>
      <c r="O120" s="1"/>
      <c r="P120" s="1"/>
      <c r="Q120" s="13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ht="13.5" customHeight="1">
      <c r="A121" s="88">
        <f ca="1">IFERROR(__xludf.DUMMYFUNCTION("""COMPUTED_VALUE"""),122)</f>
        <v>122</v>
      </c>
      <c r="B121" s="1" t="str">
        <f ca="1">IFERROR(__xludf.DUMMYFUNCTION("""COMPUTED_VALUE"""),"العنود خالد عبد الرحمن العمار")</f>
        <v>العنود خالد عبد الرحمن العمار</v>
      </c>
      <c r="C121" s="3" t="str">
        <f ca="1">IFERROR(__xludf.DUMMYFUNCTION("""COMPUTED_VALUE"""),"Anammar")</f>
        <v>Anammar</v>
      </c>
      <c r="D121" s="25" t="str">
        <f ca="1">IFERROR(__xludf.DUMMYFUNCTION("""COMPUTED_VALUE"""),"داخلي")</f>
        <v>داخلي</v>
      </c>
      <c r="E121" s="12">
        <f ca="1">IFERROR(__xludf.DUMMYFUNCTION("""COMPUTED_VALUE"""),44570)</f>
        <v>44570</v>
      </c>
      <c r="F121" s="12">
        <f ca="1">IFERROR(__xludf.DUMMYFUNCTION("""COMPUTED_VALUE"""),44570)</f>
        <v>44570</v>
      </c>
      <c r="G121" s="1" t="str">
        <f ca="1">IFERROR(__xludf.DUMMYFUNCTION("""COMPUTED_VALUE"""),"عقد توظيف")</f>
        <v>عقد توظيف</v>
      </c>
      <c r="H121" s="89" t="str">
        <f ca="1">IFERROR(__xludf.DUMMYFUNCTION("""COMPUTED_VALUE"""),"أنثى")</f>
        <v>أنثى</v>
      </c>
      <c r="I121" s="1"/>
      <c r="J121" s="6"/>
      <c r="K121" s="10"/>
      <c r="L121" s="10"/>
      <c r="M121" s="1"/>
      <c r="N121" s="1"/>
      <c r="O121" s="1"/>
      <c r="P121" s="1"/>
      <c r="Q121" s="13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 ht="13.5" customHeight="1">
      <c r="A122" s="88">
        <f ca="1">IFERROR(__xludf.DUMMYFUNCTION("""COMPUTED_VALUE"""),123)</f>
        <v>123</v>
      </c>
      <c r="B122" s="1" t="str">
        <f ca="1">IFERROR(__xludf.DUMMYFUNCTION("""COMPUTED_VALUE"""),"زيد عبدالرحمن سعد الخثلان")</f>
        <v>زيد عبدالرحمن سعد الخثلان</v>
      </c>
      <c r="C122" s="3" t="str">
        <f ca="1">IFERROR(__xludf.DUMMYFUNCTION("""COMPUTED_VALUE"""),"Zkhathlan")</f>
        <v>Zkhathlan</v>
      </c>
      <c r="D122" s="25" t="str">
        <f ca="1">IFERROR(__xludf.DUMMYFUNCTION("""COMPUTED_VALUE"""),"داخلي")</f>
        <v>داخلي</v>
      </c>
      <c r="E122" s="12">
        <f ca="1">IFERROR(__xludf.DUMMYFUNCTION("""COMPUTED_VALUE"""),44570)</f>
        <v>44570</v>
      </c>
      <c r="F122" s="12">
        <f ca="1">IFERROR(__xludf.DUMMYFUNCTION("""COMPUTED_VALUE"""),44570)</f>
        <v>44570</v>
      </c>
      <c r="G122" s="1" t="str">
        <f ca="1">IFERROR(__xludf.DUMMYFUNCTION("""COMPUTED_VALUE"""),"عقد توظيف")</f>
        <v>عقد توظيف</v>
      </c>
      <c r="H122" s="89" t="str">
        <f ca="1">IFERROR(__xludf.DUMMYFUNCTION("""COMPUTED_VALUE"""),"ذكر ")</f>
        <v xml:space="preserve">ذكر </v>
      </c>
      <c r="I122" s="1"/>
      <c r="J122" s="6"/>
      <c r="K122" s="10"/>
      <c r="L122" s="10"/>
      <c r="M122" s="1"/>
      <c r="N122" s="1"/>
      <c r="O122" s="1"/>
      <c r="P122" s="1"/>
      <c r="Q122" s="13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ht="13.5" customHeight="1">
      <c r="A123" s="88">
        <f ca="1">IFERROR(__xludf.DUMMYFUNCTION("""COMPUTED_VALUE"""),124)</f>
        <v>124</v>
      </c>
      <c r="B123" s="1" t="str">
        <f ca="1">IFERROR(__xludf.DUMMYFUNCTION("""COMPUTED_VALUE"""),"وجدان عبدالله حماد بن شامه")</f>
        <v>وجدان عبدالله حماد بن شامه</v>
      </c>
      <c r="C123" s="3" t="str">
        <f ca="1">IFERROR(__xludf.DUMMYFUNCTION("""COMPUTED_VALUE"""),"Wshamah")</f>
        <v>Wshamah</v>
      </c>
      <c r="D123" s="25" t="str">
        <f ca="1">IFERROR(__xludf.DUMMYFUNCTION("""COMPUTED_VALUE"""),"داخلي")</f>
        <v>داخلي</v>
      </c>
      <c r="E123" s="12">
        <f ca="1">IFERROR(__xludf.DUMMYFUNCTION("""COMPUTED_VALUE"""),44570)</f>
        <v>44570</v>
      </c>
      <c r="F123" s="12">
        <f ca="1">IFERROR(__xludf.DUMMYFUNCTION("""COMPUTED_VALUE"""),44570)</f>
        <v>44570</v>
      </c>
      <c r="G123" s="1" t="str">
        <f ca="1">IFERROR(__xludf.DUMMYFUNCTION("""COMPUTED_VALUE"""),"عقد توظيف")</f>
        <v>عقد توظيف</v>
      </c>
      <c r="H123" s="89" t="str">
        <f ca="1">IFERROR(__xludf.DUMMYFUNCTION("""COMPUTED_VALUE"""),"أنثى")</f>
        <v>أنثى</v>
      </c>
      <c r="I123" s="1"/>
      <c r="J123" s="6"/>
      <c r="K123" s="10"/>
      <c r="L123" s="10"/>
      <c r="M123" s="1"/>
      <c r="N123" s="1"/>
      <c r="O123" s="1"/>
      <c r="P123" s="1"/>
      <c r="Q123" s="13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ht="13.5" customHeight="1">
      <c r="A124" s="88">
        <f ca="1">IFERROR(__xludf.DUMMYFUNCTION("""COMPUTED_VALUE"""),125)</f>
        <v>125</v>
      </c>
      <c r="B124" s="1" t="str">
        <f ca="1">IFERROR(__xludf.DUMMYFUNCTION("""COMPUTED_VALUE"""),"سارة خالد سعيد الودعاني")</f>
        <v>سارة خالد سعيد الودعاني</v>
      </c>
      <c r="C124" s="3" t="str">
        <f ca="1">IFERROR(__xludf.DUMMYFUNCTION("""COMPUTED_VALUE"""),"Swadaani")</f>
        <v>Swadaani</v>
      </c>
      <c r="D124" s="25" t="str">
        <f ca="1">IFERROR(__xludf.DUMMYFUNCTION("""COMPUTED_VALUE"""),"داخلي")</f>
        <v>داخلي</v>
      </c>
      <c r="E124" s="12">
        <f ca="1">IFERROR(__xludf.DUMMYFUNCTION("""COMPUTED_VALUE"""),44570)</f>
        <v>44570</v>
      </c>
      <c r="F124" s="12">
        <f ca="1">IFERROR(__xludf.DUMMYFUNCTION("""COMPUTED_VALUE"""),44570)</f>
        <v>44570</v>
      </c>
      <c r="G124" s="1" t="str">
        <f ca="1">IFERROR(__xludf.DUMMYFUNCTION("""COMPUTED_VALUE"""),"عقد توظيف")</f>
        <v>عقد توظيف</v>
      </c>
      <c r="H124" s="89" t="str">
        <f ca="1">IFERROR(__xludf.DUMMYFUNCTION("""COMPUTED_VALUE"""),"أنثى")</f>
        <v>أنثى</v>
      </c>
      <c r="I124" s="1"/>
      <c r="J124" s="6"/>
      <c r="K124" s="10"/>
      <c r="L124" s="10"/>
      <c r="M124" s="1"/>
      <c r="N124" s="1"/>
      <c r="O124" s="1"/>
      <c r="P124" s="1"/>
      <c r="Q124" s="13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ht="13.5" customHeight="1">
      <c r="A125" s="88">
        <f ca="1">IFERROR(__xludf.DUMMYFUNCTION("""COMPUTED_VALUE"""),126)</f>
        <v>126</v>
      </c>
      <c r="B125" s="1" t="str">
        <f ca="1">IFERROR(__xludf.DUMMYFUNCTION("""COMPUTED_VALUE"""),"عبدالله بن محمد بن زيد الوهيبي")</f>
        <v>عبدالله بن محمد بن زيد الوهيبي</v>
      </c>
      <c r="C125" s="3" t="str">
        <f ca="1">IFERROR(__xludf.DUMMYFUNCTION("""COMPUTED_VALUE"""),"Abdwheebi")</f>
        <v>Abdwheebi</v>
      </c>
      <c r="D125" s="25" t="str">
        <f ca="1">IFERROR(__xludf.DUMMYFUNCTION("""COMPUTED_VALUE"""),"داخلي")</f>
        <v>داخلي</v>
      </c>
      <c r="E125" s="12">
        <f ca="1">IFERROR(__xludf.DUMMYFUNCTION("""COMPUTED_VALUE"""),44570)</f>
        <v>44570</v>
      </c>
      <c r="F125" s="12">
        <f ca="1">IFERROR(__xludf.DUMMYFUNCTION("""COMPUTED_VALUE"""),44570)</f>
        <v>44570</v>
      </c>
      <c r="G125" s="1" t="str">
        <f ca="1">IFERROR(__xludf.DUMMYFUNCTION("""COMPUTED_VALUE"""),"عقد توظيف")</f>
        <v>عقد توظيف</v>
      </c>
      <c r="H125" s="89" t="str">
        <f ca="1">IFERROR(__xludf.DUMMYFUNCTION("""COMPUTED_VALUE"""),"ذكر ")</f>
        <v xml:space="preserve">ذكر </v>
      </c>
      <c r="I125" s="1"/>
      <c r="J125" s="6"/>
      <c r="K125" s="10"/>
      <c r="L125" s="10"/>
      <c r="M125" s="1"/>
      <c r="N125" s="1"/>
      <c r="O125" s="1"/>
      <c r="P125" s="1"/>
      <c r="Q125" s="13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ht="13.5" customHeight="1">
      <c r="A126" s="88">
        <f ca="1">IFERROR(__xludf.DUMMYFUNCTION("""COMPUTED_VALUE"""),127)</f>
        <v>127</v>
      </c>
      <c r="B126" s="1" t="str">
        <f ca="1">IFERROR(__xludf.DUMMYFUNCTION("""COMPUTED_VALUE"""),"نوره سامي سلمان السلمان")</f>
        <v>نوره سامي سلمان السلمان</v>
      </c>
      <c r="C126" s="3" t="str">
        <f ca="1">IFERROR(__xludf.DUMMYFUNCTION("""COMPUTED_VALUE"""),"Nosalman")</f>
        <v>Nosalman</v>
      </c>
      <c r="D126" s="25" t="str">
        <f ca="1">IFERROR(__xludf.DUMMYFUNCTION("""COMPUTED_VALUE"""),"داخلي")</f>
        <v>داخلي</v>
      </c>
      <c r="E126" s="12">
        <f ca="1">IFERROR(__xludf.DUMMYFUNCTION("""COMPUTED_VALUE"""),44570)</f>
        <v>44570</v>
      </c>
      <c r="F126" s="12">
        <f ca="1">IFERROR(__xludf.DUMMYFUNCTION("""COMPUTED_VALUE"""),44570)</f>
        <v>44570</v>
      </c>
      <c r="G126" s="1" t="str">
        <f ca="1">IFERROR(__xludf.DUMMYFUNCTION("""COMPUTED_VALUE"""),"عقد توظيف")</f>
        <v>عقد توظيف</v>
      </c>
      <c r="H126" s="89" t="str">
        <f ca="1">IFERROR(__xludf.DUMMYFUNCTION("""COMPUTED_VALUE"""),"أنثى")</f>
        <v>أنثى</v>
      </c>
      <c r="I126" s="1"/>
      <c r="J126" s="6"/>
      <c r="K126" s="6"/>
      <c r="L126" s="6"/>
      <c r="M126" s="1"/>
      <c r="N126" s="1"/>
      <c r="O126" s="1"/>
      <c r="P126" s="1"/>
      <c r="Q126" s="13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ht="13.5" customHeight="1">
      <c r="A127" s="88">
        <f ca="1">IFERROR(__xludf.DUMMYFUNCTION("""COMPUTED_VALUE"""),128)</f>
        <v>128</v>
      </c>
      <c r="B127" s="1" t="str">
        <f ca="1">IFERROR(__xludf.DUMMYFUNCTION("""COMPUTED_VALUE"""),"حصه فرج محمد القحطاني")</f>
        <v>حصه فرج محمد القحطاني</v>
      </c>
      <c r="C127" s="3" t="str">
        <f ca="1">IFERROR(__xludf.DUMMYFUNCTION("""COMPUTED_VALUE"""),"Hqahtani")</f>
        <v>Hqahtani</v>
      </c>
      <c r="D127" s="25" t="str">
        <f ca="1">IFERROR(__xludf.DUMMYFUNCTION("""COMPUTED_VALUE"""),"داخلي")</f>
        <v>داخلي</v>
      </c>
      <c r="E127" s="12">
        <f ca="1">IFERROR(__xludf.DUMMYFUNCTION("""COMPUTED_VALUE"""),44570)</f>
        <v>44570</v>
      </c>
      <c r="F127" s="12">
        <f ca="1">IFERROR(__xludf.DUMMYFUNCTION("""COMPUTED_VALUE"""),44570)</f>
        <v>44570</v>
      </c>
      <c r="G127" s="1" t="str">
        <f ca="1">IFERROR(__xludf.DUMMYFUNCTION("""COMPUTED_VALUE"""),"عقد توظيف")</f>
        <v>عقد توظيف</v>
      </c>
      <c r="H127" s="89" t="str">
        <f ca="1">IFERROR(__xludf.DUMMYFUNCTION("""COMPUTED_VALUE"""),"أنثى")</f>
        <v>أنثى</v>
      </c>
      <c r="I127" s="1"/>
      <c r="J127" s="6"/>
      <c r="K127" s="10"/>
      <c r="L127" s="10"/>
      <c r="M127" s="1"/>
      <c r="N127" s="1"/>
      <c r="O127" s="1"/>
      <c r="P127" s="1"/>
      <c r="Q127" s="1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ht="13.5" customHeight="1">
      <c r="A128" s="88">
        <f ca="1">IFERROR(__xludf.DUMMYFUNCTION("""COMPUTED_VALUE"""),129)</f>
        <v>129</v>
      </c>
      <c r="B128" s="1" t="str">
        <f ca="1">IFERROR(__xludf.DUMMYFUNCTION("""COMPUTED_VALUE"""),"عبدالمجيد قاسم جابر العتيبي")</f>
        <v>عبدالمجيد قاسم جابر العتيبي</v>
      </c>
      <c r="C128" s="3" t="str">
        <f ca="1">IFERROR(__xludf.DUMMYFUNCTION("""COMPUTED_VALUE"""),"Abotaibi")</f>
        <v>Abotaibi</v>
      </c>
      <c r="D128" s="25" t="str">
        <f ca="1">IFERROR(__xludf.DUMMYFUNCTION("""COMPUTED_VALUE"""),"داخلي")</f>
        <v>داخلي</v>
      </c>
      <c r="E128" s="12">
        <f ca="1">IFERROR(__xludf.DUMMYFUNCTION("""COMPUTED_VALUE"""),44577)</f>
        <v>44577</v>
      </c>
      <c r="F128" s="1"/>
      <c r="G128" s="1" t="str">
        <f ca="1">IFERROR(__xludf.DUMMYFUNCTION("""COMPUTED_VALUE"""),"عقد توظيف")</f>
        <v>عقد توظيف</v>
      </c>
      <c r="H128" s="89" t="str">
        <f ca="1">IFERROR(__xludf.DUMMYFUNCTION("""COMPUTED_VALUE"""),"ذكر ")</f>
        <v xml:space="preserve">ذكر </v>
      </c>
      <c r="I128" s="1"/>
      <c r="J128" s="6"/>
      <c r="K128" s="10"/>
      <c r="L128" s="10"/>
      <c r="M128" s="1"/>
      <c r="N128" s="1"/>
      <c r="O128" s="1"/>
      <c r="P128" s="1"/>
      <c r="Q128" s="1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ht="13.5" customHeight="1">
      <c r="A129" s="88">
        <f ca="1">IFERROR(__xludf.DUMMYFUNCTION("""COMPUTED_VALUE"""),130)</f>
        <v>130</v>
      </c>
      <c r="B129" s="1" t="str">
        <f ca="1">IFERROR(__xludf.DUMMYFUNCTION("""COMPUTED_VALUE"""),"حنان فهد عبدالله السيف")</f>
        <v>حنان فهد عبدالله السيف</v>
      </c>
      <c r="C129" s="3" t="str">
        <f ca="1">IFERROR(__xludf.DUMMYFUNCTION("""COMPUTED_VALUE"""),"Hasaif")</f>
        <v>Hasaif</v>
      </c>
      <c r="D129" s="25" t="str">
        <f ca="1">IFERROR(__xludf.DUMMYFUNCTION("""COMPUTED_VALUE"""),"داخلي")</f>
        <v>داخلي</v>
      </c>
      <c r="E129" s="12">
        <f ca="1">IFERROR(__xludf.DUMMYFUNCTION("""COMPUTED_VALUE"""),44572)</f>
        <v>44572</v>
      </c>
      <c r="F129" s="12">
        <f ca="1">IFERROR(__xludf.DUMMYFUNCTION("""COMPUTED_VALUE"""),44572)</f>
        <v>44572</v>
      </c>
      <c r="G129" s="1" t="str">
        <f ca="1">IFERROR(__xludf.DUMMYFUNCTION("""COMPUTED_VALUE"""),"عمل حر")</f>
        <v>عمل حر</v>
      </c>
      <c r="H129" s="89" t="str">
        <f ca="1">IFERROR(__xludf.DUMMYFUNCTION("""COMPUTED_VALUE"""),"أنثى")</f>
        <v>أنثى</v>
      </c>
      <c r="I129" s="1"/>
      <c r="J129" s="6"/>
      <c r="K129" s="6"/>
      <c r="L129" s="6"/>
      <c r="M129" s="1"/>
      <c r="N129" s="1"/>
      <c r="O129" s="1"/>
      <c r="P129" s="1"/>
      <c r="Q129" s="13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ht="13.5" customHeight="1">
      <c r="A130" s="88">
        <f ca="1">IFERROR(__xludf.DUMMYFUNCTION("""COMPUTED_VALUE"""),131)</f>
        <v>131</v>
      </c>
      <c r="B130" s="1" t="str">
        <f ca="1">IFERROR(__xludf.DUMMYFUNCTION("""COMPUTED_VALUE"""),"خالد صالح عوضة الخثعمي")</f>
        <v>خالد صالح عوضة الخثعمي</v>
      </c>
      <c r="C130" s="3" t="str">
        <f ca="1">IFERROR(__xludf.DUMMYFUNCTION("""COMPUTED_VALUE"""),"Kkhathami")</f>
        <v>Kkhathami</v>
      </c>
      <c r="D130" s="25" t="str">
        <f ca="1">IFERROR(__xludf.DUMMYFUNCTION("""COMPUTED_VALUE"""),"داخلي")</f>
        <v>داخلي</v>
      </c>
      <c r="E130" s="12">
        <f ca="1">IFERROR(__xludf.DUMMYFUNCTION("""COMPUTED_VALUE"""),44571)</f>
        <v>44571</v>
      </c>
      <c r="F130" s="12">
        <f ca="1">IFERROR(__xludf.DUMMYFUNCTION("""COMPUTED_VALUE"""),44571)</f>
        <v>44571</v>
      </c>
      <c r="G130" s="1" t="str">
        <f ca="1">IFERROR(__xludf.DUMMYFUNCTION("""COMPUTED_VALUE"""),"عقد توظيف")</f>
        <v>عقد توظيف</v>
      </c>
      <c r="H130" s="89" t="str">
        <f ca="1">IFERROR(__xludf.DUMMYFUNCTION("""COMPUTED_VALUE"""),"ذكر ")</f>
        <v xml:space="preserve">ذكر </v>
      </c>
      <c r="I130" s="1"/>
      <c r="J130" s="6"/>
      <c r="K130" s="6"/>
      <c r="L130" s="6"/>
      <c r="M130" s="1"/>
      <c r="N130" s="1"/>
      <c r="O130" s="1"/>
      <c r="P130" s="1"/>
      <c r="Q130" s="13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ht="13.5" customHeight="1">
      <c r="A131" s="88">
        <f ca="1">IFERROR(__xludf.DUMMYFUNCTION("""COMPUTED_VALUE"""),132)</f>
        <v>132</v>
      </c>
      <c r="B131" s="1" t="str">
        <f ca="1">IFERROR(__xludf.DUMMYFUNCTION("""COMPUTED_VALUE"""),"عهود عبدالعزيز العمار")</f>
        <v>عهود عبدالعزيز العمار</v>
      </c>
      <c r="C131" s="3" t="str">
        <f ca="1">IFERROR(__xludf.DUMMYFUNCTION("""COMPUTED_VALUE"""),"Oammar")</f>
        <v>Oammar</v>
      </c>
      <c r="D131" s="25" t="str">
        <f ca="1">IFERROR(__xludf.DUMMYFUNCTION("""COMPUTED_VALUE"""),"داخلي")</f>
        <v>داخلي</v>
      </c>
      <c r="E131" s="12">
        <f ca="1">IFERROR(__xludf.DUMMYFUNCTION("""COMPUTED_VALUE"""),44571)</f>
        <v>44571</v>
      </c>
      <c r="F131" s="12">
        <f ca="1">IFERROR(__xludf.DUMMYFUNCTION("""COMPUTED_VALUE"""),44571)</f>
        <v>44571</v>
      </c>
      <c r="G131" s="1" t="str">
        <f ca="1">IFERROR(__xludf.DUMMYFUNCTION("""COMPUTED_VALUE"""),"عقد توظيف")</f>
        <v>عقد توظيف</v>
      </c>
      <c r="H131" s="89" t="str">
        <f ca="1">IFERROR(__xludf.DUMMYFUNCTION("""COMPUTED_VALUE"""),"أنثى")</f>
        <v>أنثى</v>
      </c>
      <c r="I131" s="1"/>
      <c r="J131" s="6"/>
      <c r="K131" s="6"/>
      <c r="L131" s="6"/>
      <c r="M131" s="1"/>
      <c r="N131" s="1"/>
      <c r="O131" s="1"/>
      <c r="P131" s="1"/>
      <c r="Q131" s="1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ht="13.5" customHeight="1">
      <c r="A132" s="88">
        <f ca="1">IFERROR(__xludf.DUMMYFUNCTION("""COMPUTED_VALUE"""),133)</f>
        <v>133</v>
      </c>
      <c r="B132" s="1" t="str">
        <f ca="1">IFERROR(__xludf.DUMMYFUNCTION("""COMPUTED_VALUE"""),"ملاك سعد عبدالعزيز بن صليهم")</f>
        <v>ملاك سعد عبدالعزيز بن صليهم</v>
      </c>
      <c r="C132" s="3" t="str">
        <f ca="1">IFERROR(__xludf.DUMMYFUNCTION("""COMPUTED_VALUE"""),"Mbinslayem")</f>
        <v>Mbinslayem</v>
      </c>
      <c r="D132" s="25" t="str">
        <f ca="1">IFERROR(__xludf.DUMMYFUNCTION("""COMPUTED_VALUE"""),"داخلي")</f>
        <v>داخلي</v>
      </c>
      <c r="E132" s="12">
        <f ca="1">IFERROR(__xludf.DUMMYFUNCTION("""COMPUTED_VALUE"""),44571)</f>
        <v>44571</v>
      </c>
      <c r="F132" s="12">
        <f ca="1">IFERROR(__xludf.DUMMYFUNCTION("""COMPUTED_VALUE"""),44571)</f>
        <v>44571</v>
      </c>
      <c r="G132" s="1" t="str">
        <f ca="1">IFERROR(__xludf.DUMMYFUNCTION("""COMPUTED_VALUE"""),"عقد توظيف")</f>
        <v>عقد توظيف</v>
      </c>
      <c r="H132" s="89" t="str">
        <f ca="1">IFERROR(__xludf.DUMMYFUNCTION("""COMPUTED_VALUE"""),"أنثى")</f>
        <v>أنثى</v>
      </c>
      <c r="I132" s="1"/>
      <c r="J132" s="6"/>
      <c r="K132" s="6"/>
      <c r="L132" s="6"/>
      <c r="M132" s="1"/>
      <c r="N132" s="1"/>
      <c r="O132" s="1"/>
      <c r="P132" s="1"/>
      <c r="Q132" s="1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 ht="13.5" customHeight="1">
      <c r="A133" s="88">
        <f ca="1">IFERROR(__xludf.DUMMYFUNCTION("""COMPUTED_VALUE"""),134)</f>
        <v>134</v>
      </c>
      <c r="B133" s="1" t="str">
        <f ca="1">IFERROR(__xludf.DUMMYFUNCTION("""COMPUTED_VALUE"""),"وجدان شوعي علي مجرشي")</f>
        <v>وجدان شوعي علي مجرشي</v>
      </c>
      <c r="C133" s="3" t="str">
        <f ca="1">IFERROR(__xludf.DUMMYFUNCTION("""COMPUTED_VALUE"""),"Wmajrashi")</f>
        <v>Wmajrashi</v>
      </c>
      <c r="D133" s="25" t="str">
        <f ca="1">IFERROR(__xludf.DUMMYFUNCTION("""COMPUTED_VALUE"""),"داخلي")</f>
        <v>داخلي</v>
      </c>
      <c r="E133" s="12">
        <f ca="1">IFERROR(__xludf.DUMMYFUNCTION("""COMPUTED_VALUE"""),44571)</f>
        <v>44571</v>
      </c>
      <c r="F133" s="12">
        <f ca="1">IFERROR(__xludf.DUMMYFUNCTION("""COMPUTED_VALUE"""),44571)</f>
        <v>44571</v>
      </c>
      <c r="G133" s="1" t="str">
        <f ca="1">IFERROR(__xludf.DUMMYFUNCTION("""COMPUTED_VALUE"""),"عقد توظيف")</f>
        <v>عقد توظيف</v>
      </c>
      <c r="H133" s="89" t="str">
        <f ca="1">IFERROR(__xludf.DUMMYFUNCTION("""COMPUTED_VALUE"""),"أنثى")</f>
        <v>أنثى</v>
      </c>
      <c r="I133" s="1"/>
      <c r="J133" s="6"/>
      <c r="K133" s="6"/>
      <c r="L133" s="6"/>
      <c r="M133" s="1"/>
      <c r="N133" s="1"/>
      <c r="O133" s="1"/>
      <c r="P133" s="1"/>
      <c r="Q133" s="1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 ht="13.5" customHeight="1">
      <c r="A134" s="88">
        <f ca="1">IFERROR(__xludf.DUMMYFUNCTION("""COMPUTED_VALUE"""),135)</f>
        <v>135</v>
      </c>
      <c r="B134" s="1" t="str">
        <f ca="1">IFERROR(__xludf.DUMMYFUNCTION("""COMPUTED_VALUE"""),"شهد خالد عبدالله بن داود")</f>
        <v>شهد خالد عبدالله بن داود</v>
      </c>
      <c r="C134" s="3" t="str">
        <f ca="1">IFERROR(__xludf.DUMMYFUNCTION("""COMPUTED_VALUE"""),"Shbindawod")</f>
        <v>Shbindawod</v>
      </c>
      <c r="D134" s="25" t="str">
        <f ca="1">IFERROR(__xludf.DUMMYFUNCTION("""COMPUTED_VALUE"""),"داخلي")</f>
        <v>داخلي</v>
      </c>
      <c r="E134" s="12">
        <f ca="1">IFERROR(__xludf.DUMMYFUNCTION("""COMPUTED_VALUE"""),44571)</f>
        <v>44571</v>
      </c>
      <c r="F134" s="12">
        <f ca="1">IFERROR(__xludf.DUMMYFUNCTION("""COMPUTED_VALUE"""),44571)</f>
        <v>44571</v>
      </c>
      <c r="G134" s="1" t="str">
        <f ca="1">IFERROR(__xludf.DUMMYFUNCTION("""COMPUTED_VALUE"""),"عقد توظيف")</f>
        <v>عقد توظيف</v>
      </c>
      <c r="H134" s="89" t="str">
        <f ca="1">IFERROR(__xludf.DUMMYFUNCTION("""COMPUTED_VALUE"""),"أنثى")</f>
        <v>أنثى</v>
      </c>
      <c r="I134" s="1"/>
      <c r="J134" s="6"/>
      <c r="K134" s="6"/>
      <c r="L134" s="6"/>
      <c r="M134" s="1"/>
      <c r="N134" s="1"/>
      <c r="O134" s="1"/>
      <c r="P134" s="1"/>
      <c r="Q134" s="1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ht="13.5" customHeight="1">
      <c r="A135" s="88">
        <f ca="1">IFERROR(__xludf.DUMMYFUNCTION("""COMPUTED_VALUE"""),136)</f>
        <v>136</v>
      </c>
      <c r="B135" s="1" t="str">
        <f ca="1">IFERROR(__xludf.DUMMYFUNCTION("""COMPUTED_VALUE"""),"خوله محمد عبدالله السلوم")</f>
        <v>خوله محمد عبدالله السلوم</v>
      </c>
      <c r="C135" s="3" t="str">
        <f ca="1">IFERROR(__xludf.DUMMYFUNCTION("""COMPUTED_VALUE"""),"Khsallom")</f>
        <v>Khsallom</v>
      </c>
      <c r="D135" s="25" t="str">
        <f ca="1">IFERROR(__xludf.DUMMYFUNCTION("""COMPUTED_VALUE"""),"داخلي")</f>
        <v>داخلي</v>
      </c>
      <c r="E135" s="12">
        <f ca="1">IFERROR(__xludf.DUMMYFUNCTION("""COMPUTED_VALUE"""),44571)</f>
        <v>44571</v>
      </c>
      <c r="F135" s="12">
        <f ca="1">IFERROR(__xludf.DUMMYFUNCTION("""COMPUTED_VALUE"""),44571)</f>
        <v>44571</v>
      </c>
      <c r="G135" s="1" t="str">
        <f ca="1">IFERROR(__xludf.DUMMYFUNCTION("""COMPUTED_VALUE"""),"عقد توظيف")</f>
        <v>عقد توظيف</v>
      </c>
      <c r="H135" s="89" t="str">
        <f ca="1">IFERROR(__xludf.DUMMYFUNCTION("""COMPUTED_VALUE"""),"أنثى")</f>
        <v>أنثى</v>
      </c>
      <c r="I135" s="1"/>
      <c r="J135" s="6"/>
      <c r="K135" s="6"/>
      <c r="L135" s="6"/>
      <c r="M135" s="1"/>
      <c r="N135" s="1"/>
      <c r="O135" s="1"/>
      <c r="P135" s="1"/>
      <c r="Q135" s="1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 ht="13.5" customHeight="1">
      <c r="A136" s="88">
        <f ca="1">IFERROR(__xludf.DUMMYFUNCTION("""COMPUTED_VALUE"""),137)</f>
        <v>137</v>
      </c>
      <c r="B136" s="1" t="str">
        <f ca="1">IFERROR(__xludf.DUMMYFUNCTION("""COMPUTED_VALUE"""),"مشاعل عبدالله سعد السعيدان")</f>
        <v>مشاعل عبدالله سعد السعيدان</v>
      </c>
      <c r="C136" s="3" t="str">
        <f ca="1">IFERROR(__xludf.DUMMYFUNCTION("""COMPUTED_VALUE"""),"Msuaydan")</f>
        <v>Msuaydan</v>
      </c>
      <c r="D136" s="25" t="str">
        <f ca="1">IFERROR(__xludf.DUMMYFUNCTION("""COMPUTED_VALUE"""),"داخلي")</f>
        <v>داخلي</v>
      </c>
      <c r="E136" s="12">
        <f ca="1">IFERROR(__xludf.DUMMYFUNCTION("""COMPUTED_VALUE"""),44572)</f>
        <v>44572</v>
      </c>
      <c r="F136" s="12">
        <f ca="1">IFERROR(__xludf.DUMMYFUNCTION("""COMPUTED_VALUE"""),44572)</f>
        <v>44572</v>
      </c>
      <c r="G136" s="1" t="str">
        <f ca="1">IFERROR(__xludf.DUMMYFUNCTION("""COMPUTED_VALUE"""),"عقد توظيف")</f>
        <v>عقد توظيف</v>
      </c>
      <c r="H136" s="89" t="str">
        <f ca="1">IFERROR(__xludf.DUMMYFUNCTION("""COMPUTED_VALUE"""),"أنثى")</f>
        <v>أنثى</v>
      </c>
      <c r="I136" s="1"/>
      <c r="J136" s="6"/>
      <c r="K136" s="10"/>
      <c r="L136" s="10"/>
      <c r="M136" s="1"/>
      <c r="N136" s="1"/>
      <c r="O136" s="1"/>
      <c r="P136" s="1"/>
      <c r="Q136" s="1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spans="1:42" ht="13.5" customHeight="1">
      <c r="A137" s="88">
        <f ca="1">IFERROR(__xludf.DUMMYFUNCTION("""COMPUTED_VALUE"""),138)</f>
        <v>138</v>
      </c>
      <c r="B137" s="1" t="str">
        <f ca="1">IFERROR(__xludf.DUMMYFUNCTION("""COMPUTED_VALUE"""),"حنان صالح راشد الجهني")</f>
        <v>حنان صالح راشد الجهني</v>
      </c>
      <c r="C137" s="3" t="str">
        <f ca="1">IFERROR(__xludf.DUMMYFUNCTION("""COMPUTED_VALUE"""),"Hjuhani")</f>
        <v>Hjuhani</v>
      </c>
      <c r="D137" s="25" t="str">
        <f ca="1">IFERROR(__xludf.DUMMYFUNCTION("""COMPUTED_VALUE"""),"داخلي")</f>
        <v>داخلي</v>
      </c>
      <c r="E137" s="12">
        <f ca="1">IFERROR(__xludf.DUMMYFUNCTION("""COMPUTED_VALUE"""),44577)</f>
        <v>44577</v>
      </c>
      <c r="F137" s="1"/>
      <c r="G137" s="1" t="str">
        <f ca="1">IFERROR(__xludf.DUMMYFUNCTION("""COMPUTED_VALUE"""),"عقد توظيف")</f>
        <v>عقد توظيف</v>
      </c>
      <c r="H137" s="89" t="str">
        <f ca="1">IFERROR(__xludf.DUMMYFUNCTION("""COMPUTED_VALUE"""),"أنثى")</f>
        <v>أنثى</v>
      </c>
      <c r="I137" s="1"/>
      <c r="J137" s="6"/>
      <c r="K137" s="10"/>
      <c r="L137" s="10"/>
      <c r="M137" s="1"/>
      <c r="N137" s="1"/>
      <c r="O137" s="1"/>
      <c r="P137" s="1"/>
      <c r="Q137" s="1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ht="13.5" customHeight="1">
      <c r="A138" s="88">
        <f ca="1">IFERROR(__xludf.DUMMYFUNCTION("""COMPUTED_VALUE"""),139)</f>
        <v>139</v>
      </c>
      <c r="B138" s="1" t="str">
        <f ca="1">IFERROR(__xludf.DUMMYFUNCTION("""COMPUTED_VALUE"""),"مرام عبدالرحمن سليمان العقيل")</f>
        <v>مرام عبدالرحمن سليمان العقيل</v>
      </c>
      <c r="C138" s="3" t="str">
        <f ca="1">IFERROR(__xludf.DUMMYFUNCTION("""COMPUTED_VALUE"""),"Maqeel")</f>
        <v>Maqeel</v>
      </c>
      <c r="D138" s="25" t="str">
        <f ca="1">IFERROR(__xludf.DUMMYFUNCTION("""COMPUTED_VALUE"""),"داخلي")</f>
        <v>داخلي</v>
      </c>
      <c r="E138" s="12">
        <f ca="1">IFERROR(__xludf.DUMMYFUNCTION("""COMPUTED_VALUE"""),44574)</f>
        <v>44574</v>
      </c>
      <c r="F138" s="12">
        <f ca="1">IFERROR(__xludf.DUMMYFUNCTION("""COMPUTED_VALUE"""),44574)</f>
        <v>44574</v>
      </c>
      <c r="G138" s="1" t="str">
        <f ca="1">IFERROR(__xludf.DUMMYFUNCTION("""COMPUTED_VALUE"""),"عمل حر")</f>
        <v>عمل حر</v>
      </c>
      <c r="H138" s="89" t="str">
        <f ca="1">IFERROR(__xludf.DUMMYFUNCTION("""COMPUTED_VALUE"""),"أنثى")</f>
        <v>أنثى</v>
      </c>
      <c r="I138" s="1"/>
      <c r="J138" s="6"/>
      <c r="K138" s="10"/>
      <c r="L138" s="10"/>
      <c r="M138" s="1"/>
      <c r="N138" s="1"/>
      <c r="O138" s="1"/>
      <c r="P138" s="1"/>
      <c r="Q138" s="1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ht="13.5" customHeight="1">
      <c r="A139" s="88">
        <f ca="1">IFERROR(__xludf.DUMMYFUNCTION("""COMPUTED_VALUE"""),140)</f>
        <v>140</v>
      </c>
      <c r="B139" s="1" t="str">
        <f ca="1">IFERROR(__xludf.DUMMYFUNCTION("""COMPUTED_VALUE"""),"اشتياق راشد خضران المطيري")</f>
        <v>اشتياق راشد خضران المطيري</v>
      </c>
      <c r="C139" s="3" t="str">
        <f ca="1">IFERROR(__xludf.DUMMYFUNCTION("""COMPUTED_VALUE"""),"Imutairi")</f>
        <v>Imutairi</v>
      </c>
      <c r="D139" s="25" t="str">
        <f ca="1">IFERROR(__xludf.DUMMYFUNCTION("""COMPUTED_VALUE"""),"داخلي")</f>
        <v>داخلي</v>
      </c>
      <c r="E139" s="1"/>
      <c r="F139" s="1"/>
      <c r="G139" s="1" t="str">
        <f ca="1">IFERROR(__xludf.DUMMYFUNCTION("""COMPUTED_VALUE"""),"عقد توظيف")</f>
        <v>عقد توظيف</v>
      </c>
      <c r="H139" s="89" t="str">
        <f ca="1">IFERROR(__xludf.DUMMYFUNCTION("""COMPUTED_VALUE"""),"أنثى")</f>
        <v>أنثى</v>
      </c>
      <c r="I139" s="1"/>
      <c r="J139" s="6"/>
      <c r="K139" s="10"/>
      <c r="L139" s="10"/>
      <c r="M139" s="1"/>
      <c r="N139" s="1"/>
      <c r="O139" s="1"/>
      <c r="P139" s="1"/>
      <c r="Q139" s="1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 ht="13.5" customHeight="1">
      <c r="A140" s="88">
        <f ca="1">IFERROR(__xludf.DUMMYFUNCTION("""COMPUTED_VALUE"""),141)</f>
        <v>141</v>
      </c>
      <c r="B140" s="1" t="str">
        <f ca="1">IFERROR(__xludf.DUMMYFUNCTION("""COMPUTED_VALUE"""),"رهف عبدالله وقيان الدوسري")</f>
        <v>رهف عبدالله وقيان الدوسري</v>
      </c>
      <c r="C140" s="3" t="str">
        <f ca="1">IFERROR(__xludf.DUMMYFUNCTION("""COMPUTED_VALUE"""),"Rhdosari")</f>
        <v>Rhdosari</v>
      </c>
      <c r="D140" s="25" t="str">
        <f ca="1">IFERROR(__xludf.DUMMYFUNCTION("""COMPUTED_VALUE"""),"داخلي")</f>
        <v>داخلي</v>
      </c>
      <c r="E140" s="1"/>
      <c r="F140" s="1"/>
      <c r="G140" s="1" t="str">
        <f ca="1">IFERROR(__xludf.DUMMYFUNCTION("""COMPUTED_VALUE"""),"عقد توظيف")</f>
        <v>عقد توظيف</v>
      </c>
      <c r="H140" s="89" t="str">
        <f ca="1">IFERROR(__xludf.DUMMYFUNCTION("""COMPUTED_VALUE"""),"أنثى")</f>
        <v>أنثى</v>
      </c>
      <c r="I140" s="1"/>
      <c r="J140" s="6"/>
      <c r="K140" s="10"/>
      <c r="L140" s="10"/>
      <c r="M140" s="1"/>
      <c r="N140" s="1"/>
      <c r="O140" s="1"/>
      <c r="P140" s="1"/>
      <c r="Q140" s="1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ht="13.5" customHeight="1">
      <c r="A141" s="88">
        <f ca="1">IFERROR(__xludf.DUMMYFUNCTION("""COMPUTED_VALUE"""),142)</f>
        <v>142</v>
      </c>
      <c r="B141" s="1" t="str">
        <f ca="1">IFERROR(__xludf.DUMMYFUNCTION("""COMPUTED_VALUE"""),"يارا صالح محمد الصقيران")</f>
        <v>يارا صالح محمد الصقيران</v>
      </c>
      <c r="C141" s="3" t="str">
        <f ca="1">IFERROR(__xludf.DUMMYFUNCTION("""COMPUTED_VALUE"""),"Ysugairan")</f>
        <v>Ysugairan</v>
      </c>
      <c r="D141" s="25" t="str">
        <f ca="1">IFERROR(__xludf.DUMMYFUNCTION("""COMPUTED_VALUE"""),"داخلي")</f>
        <v>داخلي</v>
      </c>
      <c r="E141" s="1"/>
      <c r="F141" s="1"/>
      <c r="G141" s="1" t="str">
        <f ca="1">IFERROR(__xludf.DUMMYFUNCTION("""COMPUTED_VALUE"""),"عقد توظيف")</f>
        <v>عقد توظيف</v>
      </c>
      <c r="H141" s="89" t="str">
        <f ca="1">IFERROR(__xludf.DUMMYFUNCTION("""COMPUTED_VALUE"""),"أنثى")</f>
        <v>أنثى</v>
      </c>
      <c r="I141" s="1"/>
      <c r="J141" s="6"/>
      <c r="K141" s="10"/>
      <c r="L141" s="10"/>
      <c r="M141" s="1"/>
      <c r="N141" s="1"/>
      <c r="O141" s="1"/>
      <c r="P141" s="1"/>
      <c r="Q141" s="1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ht="13.5" customHeight="1">
      <c r="A142" s="88">
        <f ca="1">IFERROR(__xludf.DUMMYFUNCTION("""COMPUTED_VALUE"""),143)</f>
        <v>143</v>
      </c>
      <c r="B142" s="1" t="str">
        <f ca="1">IFERROR(__xludf.DUMMYFUNCTION("""COMPUTED_VALUE"""),"عاليه عمار ضيف الله القويعي")</f>
        <v>عاليه عمار ضيف الله القويعي</v>
      </c>
      <c r="C142" s="3" t="str">
        <f ca="1">IFERROR(__xludf.DUMMYFUNCTION("""COMPUTED_VALUE"""),"Aquwaei")</f>
        <v>Aquwaei</v>
      </c>
      <c r="D142" s="25" t="str">
        <f ca="1">IFERROR(__xludf.DUMMYFUNCTION("""COMPUTED_VALUE"""),"داخلي")</f>
        <v>داخلي</v>
      </c>
      <c r="E142" s="1"/>
      <c r="F142" s="1"/>
      <c r="G142" s="1" t="str">
        <f ca="1">IFERROR(__xludf.DUMMYFUNCTION("""COMPUTED_VALUE"""),"عقد توظيف")</f>
        <v>عقد توظيف</v>
      </c>
      <c r="H142" s="89" t="str">
        <f ca="1">IFERROR(__xludf.DUMMYFUNCTION("""COMPUTED_VALUE"""),"أنثى")</f>
        <v>أنثى</v>
      </c>
      <c r="I142" s="1"/>
      <c r="J142" s="6"/>
      <c r="K142" s="10"/>
      <c r="L142" s="10"/>
      <c r="M142" s="1"/>
      <c r="N142" s="1"/>
      <c r="O142" s="1"/>
      <c r="P142" s="1"/>
      <c r="Q142" s="1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ht="13.5" customHeight="1">
      <c r="A143" s="88">
        <f ca="1">IFERROR(__xludf.DUMMYFUNCTION("""COMPUTED_VALUE"""),144)</f>
        <v>144</v>
      </c>
      <c r="B143" s="1" t="str">
        <f ca="1">IFERROR(__xludf.DUMMYFUNCTION("""COMPUTED_VALUE"""),"عبداللطيف مبارك حمد القحطاني")</f>
        <v>عبداللطيف مبارك حمد القحطاني</v>
      </c>
      <c r="C143" s="3" t="str">
        <f ca="1">IFERROR(__xludf.DUMMYFUNCTION("""COMPUTED_VALUE"""),"Abqahtani")</f>
        <v>Abqahtani</v>
      </c>
      <c r="D143" s="25" t="str">
        <f ca="1">IFERROR(__xludf.DUMMYFUNCTION("""COMPUTED_VALUE"""),"داخلي")</f>
        <v>داخلي</v>
      </c>
      <c r="E143" s="1"/>
      <c r="F143" s="1"/>
      <c r="G143" s="1" t="str">
        <f ca="1">IFERROR(__xludf.DUMMYFUNCTION("""COMPUTED_VALUE"""),"عقد توظيف")</f>
        <v>عقد توظيف</v>
      </c>
      <c r="H143" s="89" t="str">
        <f ca="1">IFERROR(__xludf.DUMMYFUNCTION("""COMPUTED_VALUE"""),"ذكر ")</f>
        <v xml:space="preserve">ذكر </v>
      </c>
      <c r="I143" s="1"/>
      <c r="J143" s="6"/>
      <c r="K143" s="10"/>
      <c r="L143" s="10"/>
      <c r="M143" s="1"/>
      <c r="N143" s="1"/>
      <c r="O143" s="1"/>
      <c r="P143" s="1"/>
      <c r="Q143" s="1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ht="13.5" customHeight="1">
      <c r="A144" s="88">
        <f ca="1">IFERROR(__xludf.DUMMYFUNCTION("""COMPUTED_VALUE"""),145)</f>
        <v>145</v>
      </c>
      <c r="B144" s="1" t="str">
        <f ca="1">IFERROR(__xludf.DUMMYFUNCTION("""COMPUTED_VALUE"""),"محمد ممدوح محمد الدوسري")</f>
        <v>محمد ممدوح محمد الدوسري</v>
      </c>
      <c r="C144" s="3" t="str">
        <f ca="1">IFERROR(__xludf.DUMMYFUNCTION("""COMPUTED_VALUE"""),"Mddosari")</f>
        <v>Mddosari</v>
      </c>
      <c r="D144" s="25" t="str">
        <f ca="1">IFERROR(__xludf.DUMMYFUNCTION("""COMPUTED_VALUE"""),"داخلي")</f>
        <v>داخلي</v>
      </c>
      <c r="E144" s="1"/>
      <c r="F144" s="1"/>
      <c r="G144" s="1" t="str">
        <f ca="1">IFERROR(__xludf.DUMMYFUNCTION("""COMPUTED_VALUE"""),"عقد توظيف")</f>
        <v>عقد توظيف</v>
      </c>
      <c r="H144" s="89" t="str">
        <f ca="1">IFERROR(__xludf.DUMMYFUNCTION("""COMPUTED_VALUE"""),"ذكر ")</f>
        <v xml:space="preserve">ذكر </v>
      </c>
      <c r="I144" s="1"/>
      <c r="J144" s="6"/>
      <c r="K144" s="6"/>
      <c r="L144" s="6"/>
      <c r="M144" s="1"/>
      <c r="N144" s="1"/>
      <c r="O144" s="1"/>
      <c r="P144" s="1"/>
      <c r="Q144" s="1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ht="13.5" customHeight="1">
      <c r="A145" s="88">
        <f ca="1">IFERROR(__xludf.DUMMYFUNCTION("""COMPUTED_VALUE"""),146)</f>
        <v>146</v>
      </c>
      <c r="B145" s="1" t="str">
        <f ca="1">IFERROR(__xludf.DUMMYFUNCTION("""COMPUTED_VALUE"""),"هياء ابراهيم عبدالرحمن الحمدان")</f>
        <v>هياء ابراهيم عبدالرحمن الحمدان</v>
      </c>
      <c r="C145" s="3" t="str">
        <f ca="1">IFERROR(__xludf.DUMMYFUNCTION("""COMPUTED_VALUE"""),"Hahamdan")</f>
        <v>Hahamdan</v>
      </c>
      <c r="D145" s="25" t="str">
        <f ca="1">IFERROR(__xludf.DUMMYFUNCTION("""COMPUTED_VALUE"""),"داخلي")</f>
        <v>داخلي</v>
      </c>
      <c r="E145" s="1"/>
      <c r="F145" s="1"/>
      <c r="G145" s="1" t="str">
        <f ca="1">IFERROR(__xludf.DUMMYFUNCTION("""COMPUTED_VALUE"""),"عقد توظيف")</f>
        <v>عقد توظيف</v>
      </c>
      <c r="H145" s="89" t="str">
        <f ca="1">IFERROR(__xludf.DUMMYFUNCTION("""COMPUTED_VALUE"""),"أنثى")</f>
        <v>أنثى</v>
      </c>
      <c r="I145" s="1"/>
      <c r="J145" s="6"/>
      <c r="K145" s="6"/>
      <c r="L145" s="6"/>
      <c r="M145" s="1"/>
      <c r="N145" s="1"/>
      <c r="O145" s="1"/>
      <c r="P145" s="1"/>
      <c r="Q145" s="1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ht="13.5" customHeight="1">
      <c r="A146" s="88">
        <f ca="1">IFERROR(__xludf.DUMMYFUNCTION("""COMPUTED_VALUE"""),147)</f>
        <v>147</v>
      </c>
      <c r="B146" s="1" t="str">
        <f ca="1">IFERROR(__xludf.DUMMYFUNCTION("""COMPUTED_VALUE"""),"اشواق ناصر حاسن العمري")</f>
        <v>اشواق ناصر حاسن العمري</v>
      </c>
      <c r="C146" s="3" t="str">
        <f ca="1">IFERROR(__xludf.DUMMYFUNCTION("""COMPUTED_VALUE"""),"Ashamri")</f>
        <v>Ashamri</v>
      </c>
      <c r="D146" s="25" t="str">
        <f ca="1">IFERROR(__xludf.DUMMYFUNCTION("""COMPUTED_VALUE"""),"داخلي")</f>
        <v>داخلي</v>
      </c>
      <c r="E146" s="1"/>
      <c r="F146" s="1"/>
      <c r="G146" s="1" t="str">
        <f ca="1">IFERROR(__xludf.DUMMYFUNCTION("""COMPUTED_VALUE"""),"عقد توظيف")</f>
        <v>عقد توظيف</v>
      </c>
      <c r="H146" s="89" t="str">
        <f ca="1">IFERROR(__xludf.DUMMYFUNCTION("""COMPUTED_VALUE"""),"أنثى")</f>
        <v>أنثى</v>
      </c>
      <c r="I146" s="1"/>
      <c r="J146" s="6"/>
      <c r="K146" s="6"/>
      <c r="L146" s="6"/>
      <c r="M146" s="1"/>
      <c r="N146" s="1"/>
      <c r="O146" s="1"/>
      <c r="P146" s="1"/>
      <c r="Q146" s="1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ht="13.5" customHeight="1">
      <c r="A147" s="88">
        <f ca="1">IFERROR(__xludf.DUMMYFUNCTION("""COMPUTED_VALUE"""),148)</f>
        <v>148</v>
      </c>
      <c r="B147" s="1" t="str">
        <f ca="1">IFERROR(__xludf.DUMMYFUNCTION("""COMPUTED_VALUE"""),"وجدان نادر محمد الطباع")</f>
        <v>وجدان نادر محمد الطباع</v>
      </c>
      <c r="C147" s="3" t="str">
        <f ca="1">IFERROR(__xludf.DUMMYFUNCTION("""COMPUTED_VALUE"""),"Wtabba")</f>
        <v>Wtabba</v>
      </c>
      <c r="D147" s="25" t="str">
        <f ca="1">IFERROR(__xludf.DUMMYFUNCTION("""COMPUTED_VALUE"""),"داخلي")</f>
        <v>داخلي</v>
      </c>
      <c r="E147" s="1"/>
      <c r="F147" s="1"/>
      <c r="G147" s="1" t="str">
        <f ca="1">IFERROR(__xludf.DUMMYFUNCTION("""COMPUTED_VALUE"""),"عقد توظيف")</f>
        <v>عقد توظيف</v>
      </c>
      <c r="H147" s="89" t="str">
        <f ca="1">IFERROR(__xludf.DUMMYFUNCTION("""COMPUTED_VALUE"""),"أنثى")</f>
        <v>أنثى</v>
      </c>
      <c r="I147" s="1"/>
      <c r="J147" s="6"/>
      <c r="K147" s="6"/>
      <c r="L147" s="6"/>
      <c r="M147" s="1"/>
      <c r="N147" s="1"/>
      <c r="O147" s="1"/>
      <c r="P147" s="1"/>
      <c r="Q147" s="1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ht="13.5" customHeight="1">
      <c r="A148" s="88">
        <f ca="1">IFERROR(__xludf.DUMMYFUNCTION("""COMPUTED_VALUE"""),149)</f>
        <v>149</v>
      </c>
      <c r="B148" s="1" t="str">
        <f ca="1">IFERROR(__xludf.DUMMYFUNCTION("""COMPUTED_VALUE"""),"غالية ظافر مبروك البقمي")</f>
        <v>غالية ظافر مبروك البقمي</v>
      </c>
      <c r="C148" s="3" t="str">
        <f ca="1">IFERROR(__xludf.DUMMYFUNCTION("""COMPUTED_VALUE"""),"Gbqumi")</f>
        <v>Gbqumi</v>
      </c>
      <c r="D148" s="25" t="str">
        <f ca="1">IFERROR(__xludf.DUMMYFUNCTION("""COMPUTED_VALUE"""),"داخلي")</f>
        <v>داخلي</v>
      </c>
      <c r="E148" s="1"/>
      <c r="F148" s="1"/>
      <c r="G148" s="1" t="str">
        <f ca="1">IFERROR(__xludf.DUMMYFUNCTION("""COMPUTED_VALUE"""),"عقد توظيف")</f>
        <v>عقد توظيف</v>
      </c>
      <c r="H148" s="89" t="str">
        <f ca="1">IFERROR(__xludf.DUMMYFUNCTION("""COMPUTED_VALUE"""),"أنثى")</f>
        <v>أنثى</v>
      </c>
      <c r="I148" s="1"/>
      <c r="J148" s="6"/>
      <c r="K148" s="6"/>
      <c r="L148" s="6"/>
      <c r="M148" s="1"/>
      <c r="N148" s="1"/>
      <c r="O148" s="1"/>
      <c r="P148" s="1"/>
      <c r="Q148" s="1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ht="13.5" customHeight="1">
      <c r="A149" s="88">
        <f ca="1">IFERROR(__xludf.DUMMYFUNCTION("""COMPUTED_VALUE"""),150)</f>
        <v>150</v>
      </c>
      <c r="B149" s="1" t="str">
        <f ca="1">IFERROR(__xludf.DUMMYFUNCTION("""COMPUTED_VALUE"""),"هدى ظاهر عويد الشمري")</f>
        <v>هدى ظاهر عويد الشمري</v>
      </c>
      <c r="C149" s="3" t="str">
        <f ca="1">IFERROR(__xludf.DUMMYFUNCTION("""COMPUTED_VALUE"""),"Hushammari")</f>
        <v>Hushammari</v>
      </c>
      <c r="D149" s="25" t="str">
        <f ca="1">IFERROR(__xludf.DUMMYFUNCTION("""COMPUTED_VALUE"""),"داخلي")</f>
        <v>داخلي</v>
      </c>
      <c r="E149" s="1"/>
      <c r="F149" s="1"/>
      <c r="G149" s="1" t="str">
        <f ca="1">IFERROR(__xludf.DUMMYFUNCTION("""COMPUTED_VALUE"""),"عقد توظيف")</f>
        <v>عقد توظيف</v>
      </c>
      <c r="H149" s="89" t="str">
        <f ca="1">IFERROR(__xludf.DUMMYFUNCTION("""COMPUTED_VALUE"""),"أنثى")</f>
        <v>أنثى</v>
      </c>
      <c r="I149" s="1"/>
      <c r="J149" s="6"/>
      <c r="K149" s="6"/>
      <c r="L149" s="6"/>
      <c r="M149" s="1"/>
      <c r="N149" s="1"/>
      <c r="O149" s="1"/>
      <c r="P149" s="1"/>
      <c r="Q149" s="1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ht="13.5" customHeight="1">
      <c r="A150" s="88">
        <f ca="1">IFERROR(__xludf.DUMMYFUNCTION("""COMPUTED_VALUE"""),151)</f>
        <v>151</v>
      </c>
      <c r="B150" s="1" t="str">
        <f ca="1">IFERROR(__xludf.DUMMYFUNCTION("""COMPUTED_VALUE"""),"عبدالله عبدالرحمن ناصر المزروع")</f>
        <v>عبدالله عبدالرحمن ناصر المزروع</v>
      </c>
      <c r="C150" s="3" t="str">
        <f ca="1">IFERROR(__xludf.DUMMYFUNCTION("""COMPUTED_VALUE"""),"Abdmazro")</f>
        <v>Abdmazro</v>
      </c>
      <c r="D150" s="25" t="str">
        <f ca="1">IFERROR(__xludf.DUMMYFUNCTION("""COMPUTED_VALUE"""),"داخلي")</f>
        <v>داخلي</v>
      </c>
      <c r="E150" s="1"/>
      <c r="F150" s="1"/>
      <c r="G150" s="1" t="str">
        <f ca="1">IFERROR(__xludf.DUMMYFUNCTION("""COMPUTED_VALUE"""),"عقد توظيف")</f>
        <v>عقد توظيف</v>
      </c>
      <c r="H150" s="89" t="str">
        <f ca="1">IFERROR(__xludf.DUMMYFUNCTION("""COMPUTED_VALUE"""),"ذكر ")</f>
        <v xml:space="preserve">ذكر </v>
      </c>
      <c r="I150" s="1"/>
      <c r="J150" s="6"/>
      <c r="K150" s="6"/>
      <c r="L150" s="6"/>
      <c r="M150" s="1"/>
      <c r="N150" s="1"/>
      <c r="O150" s="1"/>
      <c r="P150" s="1"/>
      <c r="Q150" s="1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ht="13.5" customHeight="1">
      <c r="A151" s="88">
        <f ca="1">IFERROR(__xludf.DUMMYFUNCTION("""COMPUTED_VALUE"""),152)</f>
        <v>152</v>
      </c>
      <c r="B151" s="1" t="str">
        <f ca="1">IFERROR(__xludf.DUMMYFUNCTION("""COMPUTED_VALUE"""),"ايمان صالح مجحود سعيد الزهراني")</f>
        <v>ايمان صالح مجحود سعيد الزهراني</v>
      </c>
      <c r="C151" s="3" t="str">
        <f ca="1">IFERROR(__xludf.DUMMYFUNCTION("""COMPUTED_VALUE"""),"Aalzhrane")</f>
        <v>Aalzhrane</v>
      </c>
      <c r="D151" s="25" t="str">
        <f ca="1">IFERROR(__xludf.DUMMYFUNCTION("""COMPUTED_VALUE"""),"داخلي")</f>
        <v>داخلي</v>
      </c>
      <c r="E151" s="12">
        <f ca="1">IFERROR(__xludf.DUMMYFUNCTION("""COMPUTED_VALUE"""),44577)</f>
        <v>44577</v>
      </c>
      <c r="F151" s="1"/>
      <c r="G151" s="1" t="str">
        <f ca="1">IFERROR(__xludf.DUMMYFUNCTION("""COMPUTED_VALUE"""),"عقد توظيف")</f>
        <v>عقد توظيف</v>
      </c>
      <c r="H151" s="89" t="str">
        <f ca="1">IFERROR(__xludf.DUMMYFUNCTION("""COMPUTED_VALUE"""),"أنثى")</f>
        <v>أنثى</v>
      </c>
      <c r="I151" s="1"/>
      <c r="J151" s="6"/>
      <c r="K151" s="10"/>
      <c r="L151" s="10"/>
      <c r="M151" s="1"/>
      <c r="N151" s="1"/>
      <c r="O151" s="1"/>
      <c r="P151" s="1"/>
      <c r="Q151" s="1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ht="13.5" customHeight="1">
      <c r="A152" s="88">
        <f ca="1">IFERROR(__xludf.DUMMYFUNCTION("""COMPUTED_VALUE"""),153)</f>
        <v>153</v>
      </c>
      <c r="B152" s="1" t="str">
        <f ca="1">IFERROR(__xludf.DUMMYFUNCTION("""COMPUTED_VALUE"""),"مصعب بن بندر الجديد")</f>
        <v>مصعب بن بندر الجديد</v>
      </c>
      <c r="C152" s="3" t="str">
        <f ca="1">IFERROR(__xludf.DUMMYFUNCTION("""COMPUTED_VALUE"""),"Mbabdaziz")</f>
        <v>Mbabdaziz</v>
      </c>
      <c r="D152" s="25" t="str">
        <f ca="1">IFERROR(__xludf.DUMMYFUNCTION("""COMPUTED_VALUE"""),"داخلي")</f>
        <v>داخلي</v>
      </c>
      <c r="E152" s="12">
        <f ca="1">IFERROR(__xludf.DUMMYFUNCTION("""COMPUTED_VALUE"""),44565)</f>
        <v>44565</v>
      </c>
      <c r="F152" s="12">
        <f ca="1">IFERROR(__xludf.DUMMYFUNCTION("""COMPUTED_VALUE"""),44565)</f>
        <v>44565</v>
      </c>
      <c r="G152" s="1" t="str">
        <f ca="1">IFERROR(__xludf.DUMMYFUNCTION("""COMPUTED_VALUE"""),"عمل حر")</f>
        <v>عمل حر</v>
      </c>
      <c r="H152" s="89" t="str">
        <f ca="1">IFERROR(__xludf.DUMMYFUNCTION("""COMPUTED_VALUE"""),"ذكر ")</f>
        <v xml:space="preserve">ذكر </v>
      </c>
      <c r="I152" s="1"/>
      <c r="J152" s="6"/>
      <c r="K152" s="6"/>
      <c r="L152" s="6"/>
      <c r="M152" s="1"/>
      <c r="N152" s="1"/>
      <c r="O152" s="1"/>
      <c r="P152" s="1"/>
      <c r="Q152" s="1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ht="13.5" customHeight="1">
      <c r="A153" s="88">
        <f ca="1">IFERROR(__xludf.DUMMYFUNCTION("""COMPUTED_VALUE"""),154)</f>
        <v>154</v>
      </c>
      <c r="B153" s="1" t="str">
        <f ca="1">IFERROR(__xludf.DUMMYFUNCTION("""COMPUTED_VALUE"""),"احمد منصور احمد الغامدي")</f>
        <v>احمد منصور احمد الغامدي</v>
      </c>
      <c r="C153" s="3" t="str">
        <f ca="1">IFERROR(__xludf.DUMMYFUNCTION("""COMPUTED_VALUE"""),"Alghamdi65")</f>
        <v>Alghamdi65</v>
      </c>
      <c r="D153" s="25" t="str">
        <f ca="1">IFERROR(__xludf.DUMMYFUNCTION("""COMPUTED_VALUE"""),"داخلي")</f>
        <v>داخلي</v>
      </c>
      <c r="E153" s="12">
        <f ca="1">IFERROR(__xludf.DUMMYFUNCTION("""COMPUTED_VALUE"""),44572)</f>
        <v>44572</v>
      </c>
      <c r="F153" s="12">
        <f ca="1">IFERROR(__xludf.DUMMYFUNCTION("""COMPUTED_VALUE"""),44572)</f>
        <v>44572</v>
      </c>
      <c r="G153" s="1" t="str">
        <f ca="1">IFERROR(__xludf.DUMMYFUNCTION("""COMPUTED_VALUE"""),"عمل حر")</f>
        <v>عمل حر</v>
      </c>
      <c r="H153" s="89" t="str">
        <f ca="1">IFERROR(__xludf.DUMMYFUNCTION("""COMPUTED_VALUE"""),"ذكر ")</f>
        <v xml:space="preserve">ذكر </v>
      </c>
      <c r="I153" s="1"/>
      <c r="J153" s="6"/>
      <c r="K153" s="6"/>
      <c r="L153" s="6"/>
      <c r="M153" s="1"/>
      <c r="N153" s="1"/>
      <c r="O153" s="1"/>
      <c r="P153" s="1"/>
      <c r="Q153" s="1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ht="13.5" customHeight="1">
      <c r="A154" s="88">
        <f ca="1">IFERROR(__xludf.DUMMYFUNCTION("""COMPUTED_VALUE"""),155)</f>
        <v>155</v>
      </c>
      <c r="B154" s="1" t="str">
        <f ca="1">IFERROR(__xludf.DUMMYFUNCTION("""COMPUTED_VALUE"""),"عبدالكريم بن سعود عبيد الحربي")</f>
        <v>عبدالكريم بن سعود عبيد الحربي</v>
      </c>
      <c r="C154" s="3" t="str">
        <f ca="1">IFERROR(__xludf.DUMMYFUNCTION("""COMPUTED_VALUE"""),"Kroom1101")</f>
        <v>Kroom1101</v>
      </c>
      <c r="D154" s="25" t="str">
        <f ca="1">IFERROR(__xludf.DUMMYFUNCTION("""COMPUTED_VALUE"""),"داخلي")</f>
        <v>داخلي</v>
      </c>
      <c r="E154" s="12">
        <f ca="1">IFERROR(__xludf.DUMMYFUNCTION("""COMPUTED_VALUE"""),44574)</f>
        <v>44574</v>
      </c>
      <c r="F154" s="12">
        <f ca="1">IFERROR(__xludf.DUMMYFUNCTION("""COMPUTED_VALUE"""),44574)</f>
        <v>44574</v>
      </c>
      <c r="G154" s="1" t="str">
        <f ca="1">IFERROR(__xludf.DUMMYFUNCTION("""COMPUTED_VALUE"""),"عمل حر")</f>
        <v>عمل حر</v>
      </c>
      <c r="H154" s="89" t="str">
        <f ca="1">IFERROR(__xludf.DUMMYFUNCTION("""COMPUTED_VALUE"""),"ذكر ")</f>
        <v xml:space="preserve">ذكر </v>
      </c>
      <c r="I154" s="1"/>
      <c r="J154" s="6"/>
      <c r="K154" s="6"/>
      <c r="L154" s="6"/>
      <c r="M154" s="1"/>
      <c r="N154" s="1"/>
      <c r="O154" s="1"/>
      <c r="P154" s="1"/>
      <c r="Q154" s="1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 ht="13.5" customHeight="1">
      <c r="A155" s="88">
        <f ca="1">IFERROR(__xludf.DUMMYFUNCTION("""COMPUTED_VALUE"""),156)</f>
        <v>156</v>
      </c>
      <c r="B155" s="1" t="str">
        <f ca="1">IFERROR(__xludf.DUMMYFUNCTION("""COMPUTED_VALUE"""),"رهف عبدالرحمن تركي العبدان")</f>
        <v>رهف عبدالرحمن تركي العبدان</v>
      </c>
      <c r="C155" s="3" t="str">
        <f ca="1">IFERROR(__xludf.DUMMYFUNCTION("""COMPUTED_VALUE"""),"Abrahaf377")</f>
        <v>Abrahaf377</v>
      </c>
      <c r="D155" s="25" t="str">
        <f ca="1">IFERROR(__xludf.DUMMYFUNCTION("""COMPUTED_VALUE"""),"داخلي")</f>
        <v>داخلي</v>
      </c>
      <c r="E155" s="1"/>
      <c r="F155" s="1"/>
      <c r="G155" s="1" t="str">
        <f ca="1">IFERROR(__xludf.DUMMYFUNCTION("""COMPUTED_VALUE"""),"عقد توظيف")</f>
        <v>عقد توظيف</v>
      </c>
      <c r="H155" s="89" t="str">
        <f ca="1">IFERROR(__xludf.DUMMYFUNCTION("""COMPUTED_VALUE"""),"أنثى")</f>
        <v>أنثى</v>
      </c>
      <c r="I155" s="1"/>
      <c r="J155" s="6"/>
      <c r="K155" s="6"/>
      <c r="L155" s="6"/>
      <c r="M155" s="1"/>
      <c r="N155" s="1"/>
      <c r="O155" s="1"/>
      <c r="P155" s="1"/>
      <c r="Q155" s="1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 ht="13.5" customHeight="1">
      <c r="A156" s="88">
        <f ca="1">IFERROR(__xludf.DUMMYFUNCTION("""COMPUTED_VALUE"""),157)</f>
        <v>157</v>
      </c>
      <c r="B156" s="1" t="str">
        <f ca="1">IFERROR(__xludf.DUMMYFUNCTION("""COMPUTED_VALUE"""),"سامي عقاب عبيد المرشدي")</f>
        <v>سامي عقاب عبيد المرشدي</v>
      </c>
      <c r="C156" s="3" t="str">
        <f ca="1">IFERROR(__xludf.DUMMYFUNCTION("""COMPUTED_VALUE"""),"Samioqab91")</f>
        <v>Samioqab91</v>
      </c>
      <c r="D156" s="25" t="str">
        <f ca="1">IFERROR(__xludf.DUMMYFUNCTION("""COMPUTED_VALUE"""),"داخلي")</f>
        <v>داخلي</v>
      </c>
      <c r="E156" s="12">
        <f ca="1">IFERROR(__xludf.DUMMYFUNCTION("""COMPUTED_VALUE"""),44572)</f>
        <v>44572</v>
      </c>
      <c r="F156" s="12">
        <f ca="1">IFERROR(__xludf.DUMMYFUNCTION("""COMPUTED_VALUE"""),44572)</f>
        <v>44572</v>
      </c>
      <c r="G156" s="1" t="str">
        <f ca="1">IFERROR(__xludf.DUMMYFUNCTION("""COMPUTED_VALUE"""),"عمل حر")</f>
        <v>عمل حر</v>
      </c>
      <c r="H156" s="89" t="str">
        <f ca="1">IFERROR(__xludf.DUMMYFUNCTION("""COMPUTED_VALUE"""),"ذكر ")</f>
        <v xml:space="preserve">ذكر </v>
      </c>
      <c r="I156" s="1"/>
      <c r="J156" s="6"/>
      <c r="K156" s="6"/>
      <c r="L156" s="6"/>
      <c r="M156" s="1"/>
      <c r="N156" s="1"/>
      <c r="O156" s="1"/>
      <c r="P156" s="1"/>
      <c r="Q156" s="1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 ht="13.5" customHeight="1">
      <c r="A157" s="88">
        <f ca="1">IFERROR(__xludf.DUMMYFUNCTION("""COMPUTED_VALUE"""),158)</f>
        <v>158</v>
      </c>
      <c r="B157" s="1" t="str">
        <f ca="1">IFERROR(__xludf.DUMMYFUNCTION("""COMPUTED_VALUE"""),"حمود طرجم حمود القحطاني")</f>
        <v>حمود طرجم حمود القحطاني</v>
      </c>
      <c r="C157" s="3" t="str">
        <f ca="1">IFERROR(__xludf.DUMMYFUNCTION("""COMPUTED_VALUE"""),"Hh505xx")</f>
        <v>Hh505xx</v>
      </c>
      <c r="D157" s="25" t="str">
        <f ca="1">IFERROR(__xludf.DUMMYFUNCTION("""COMPUTED_VALUE"""),"داخلي")</f>
        <v>داخلي</v>
      </c>
      <c r="E157" s="12">
        <f ca="1">IFERROR(__xludf.DUMMYFUNCTION("""COMPUTED_VALUE"""),44572)</f>
        <v>44572</v>
      </c>
      <c r="F157" s="12">
        <f ca="1">IFERROR(__xludf.DUMMYFUNCTION("""COMPUTED_VALUE"""),44572)</f>
        <v>44572</v>
      </c>
      <c r="G157" s="1" t="str">
        <f ca="1">IFERROR(__xludf.DUMMYFUNCTION("""COMPUTED_VALUE"""),"عمل حر")</f>
        <v>عمل حر</v>
      </c>
      <c r="H157" s="89" t="str">
        <f ca="1">IFERROR(__xludf.DUMMYFUNCTION("""COMPUTED_VALUE"""),"ذكر ")</f>
        <v xml:space="preserve">ذكر </v>
      </c>
      <c r="I157" s="1"/>
      <c r="J157" s="6"/>
      <c r="K157" s="6"/>
      <c r="L157" s="6"/>
      <c r="M157" s="1"/>
      <c r="N157" s="1"/>
      <c r="O157" s="1"/>
      <c r="P157" s="1"/>
      <c r="Q157" s="1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spans="1:42" ht="13.5" customHeight="1">
      <c r="A158" s="88">
        <f ca="1">IFERROR(__xludf.DUMMYFUNCTION("""COMPUTED_VALUE"""),159)</f>
        <v>159</v>
      </c>
      <c r="B158" s="1" t="str">
        <f ca="1">IFERROR(__xludf.DUMMYFUNCTION("""COMPUTED_VALUE"""),"غاده هذال سعيدان العصيمي")</f>
        <v>غاده هذال سعيدان العصيمي</v>
      </c>
      <c r="C158" s="3" t="str">
        <f ca="1">IFERROR(__xludf.DUMMYFUNCTION("""COMPUTED_VALUE"""),"Ghaadh17")</f>
        <v>Ghaadh17</v>
      </c>
      <c r="D158" s="25" t="str">
        <f ca="1">IFERROR(__xludf.DUMMYFUNCTION("""COMPUTED_VALUE"""),"داخلي")</f>
        <v>داخلي</v>
      </c>
      <c r="E158" s="12">
        <f ca="1">IFERROR(__xludf.DUMMYFUNCTION("""COMPUTED_VALUE"""),44572)</f>
        <v>44572</v>
      </c>
      <c r="F158" s="12">
        <f ca="1">IFERROR(__xludf.DUMMYFUNCTION("""COMPUTED_VALUE"""),44572)</f>
        <v>44572</v>
      </c>
      <c r="G158" s="1" t="str">
        <f ca="1">IFERROR(__xludf.DUMMYFUNCTION("""COMPUTED_VALUE"""),"عمل حر")</f>
        <v>عمل حر</v>
      </c>
      <c r="H158" s="89" t="str">
        <f ca="1">IFERROR(__xludf.DUMMYFUNCTION("""COMPUTED_VALUE"""),"أنثى")</f>
        <v>أنثى</v>
      </c>
      <c r="I158" s="1"/>
      <c r="J158" s="6"/>
      <c r="K158" s="6"/>
      <c r="L158" s="6"/>
      <c r="M158" s="1"/>
      <c r="N158" s="1"/>
      <c r="O158" s="1"/>
      <c r="P158" s="1"/>
      <c r="Q158" s="1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spans="1:42" ht="13.5" customHeight="1">
      <c r="A159" s="88">
        <f ca="1">IFERROR(__xludf.DUMMYFUNCTION("""COMPUTED_VALUE"""),160)</f>
        <v>160</v>
      </c>
      <c r="B159" s="1" t="str">
        <f ca="1">IFERROR(__xludf.DUMMYFUNCTION("""COMPUTED_VALUE"""),"فهد بن عبدالله بن عبدالعزيز العمار")</f>
        <v>فهد بن عبدالله بن عبدالعزيز العمار</v>
      </c>
      <c r="C159" s="3" t="str">
        <f ca="1">IFERROR(__xludf.DUMMYFUNCTION("""COMPUTED_VALUE"""),"Al-fhd")</f>
        <v>Al-fhd</v>
      </c>
      <c r="D159" s="25" t="str">
        <f ca="1">IFERROR(__xludf.DUMMYFUNCTION("""COMPUTED_VALUE"""),"داخلي")</f>
        <v>داخلي</v>
      </c>
      <c r="E159" s="12">
        <f ca="1">IFERROR(__xludf.DUMMYFUNCTION("""COMPUTED_VALUE"""),44577)</f>
        <v>44577</v>
      </c>
      <c r="F159" s="1"/>
      <c r="G159" s="1" t="str">
        <f ca="1">IFERROR(__xludf.DUMMYFUNCTION("""COMPUTED_VALUE"""),"عمل حر")</f>
        <v>عمل حر</v>
      </c>
      <c r="H159" s="89" t="str">
        <f ca="1">IFERROR(__xludf.DUMMYFUNCTION("""COMPUTED_VALUE"""),"ذكر ")</f>
        <v xml:space="preserve">ذكر </v>
      </c>
      <c r="I159" s="1"/>
      <c r="J159" s="6"/>
      <c r="K159" s="6"/>
      <c r="L159" s="6"/>
      <c r="M159" s="1"/>
      <c r="N159" s="1"/>
      <c r="O159" s="1"/>
      <c r="P159" s="1"/>
      <c r="Q159" s="1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spans="1:42" ht="13.5" customHeight="1">
      <c r="A160" s="88">
        <f ca="1">IFERROR(__xludf.DUMMYFUNCTION("""COMPUTED_VALUE"""),161)</f>
        <v>161</v>
      </c>
      <c r="B160" s="1" t="str">
        <f ca="1">IFERROR(__xludf.DUMMYFUNCTION("""COMPUTED_VALUE"""),"نوض عايض جويعد الاكلبي")</f>
        <v>نوض عايض جويعد الاكلبي</v>
      </c>
      <c r="C160" s="3" t="str">
        <f ca="1">IFERROR(__xludf.DUMMYFUNCTION("""COMPUTED_VALUE"""),"Noud1440")</f>
        <v>Noud1440</v>
      </c>
      <c r="D160" s="25" t="str">
        <f ca="1">IFERROR(__xludf.DUMMYFUNCTION("""COMPUTED_VALUE"""),"داخلي")</f>
        <v>داخلي</v>
      </c>
      <c r="E160" s="12">
        <f ca="1">IFERROR(__xludf.DUMMYFUNCTION("""COMPUTED_VALUE"""),44572)</f>
        <v>44572</v>
      </c>
      <c r="F160" s="12">
        <f ca="1">IFERROR(__xludf.DUMMYFUNCTION("""COMPUTED_VALUE"""),44572)</f>
        <v>44572</v>
      </c>
      <c r="G160" s="1" t="str">
        <f ca="1">IFERROR(__xludf.DUMMYFUNCTION("""COMPUTED_VALUE"""),"عمل حر")</f>
        <v>عمل حر</v>
      </c>
      <c r="H160" s="89" t="str">
        <f ca="1">IFERROR(__xludf.DUMMYFUNCTION("""COMPUTED_VALUE"""),"أنثى")</f>
        <v>أنثى</v>
      </c>
      <c r="I160" s="1"/>
      <c r="J160" s="6"/>
      <c r="K160" s="6"/>
      <c r="L160" s="6"/>
      <c r="M160" s="1"/>
      <c r="N160" s="1"/>
      <c r="O160" s="1"/>
      <c r="P160" s="1"/>
      <c r="Q160" s="1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spans="1:42" ht="13.5" customHeight="1">
      <c r="A161" s="88">
        <f ca="1">IFERROR(__xludf.DUMMYFUNCTION("""COMPUTED_VALUE"""),162)</f>
        <v>162</v>
      </c>
      <c r="B161" s="1" t="str">
        <f ca="1">IFERROR(__xludf.DUMMYFUNCTION("""COMPUTED_VALUE"""),"منى علي محمد الباتل")</f>
        <v>منى علي محمد الباتل</v>
      </c>
      <c r="C161" s="3" t="str">
        <f ca="1">IFERROR(__xludf.DUMMYFUNCTION("""COMPUTED_VALUE"""),"Albatel")</f>
        <v>Albatel</v>
      </c>
      <c r="D161" s="25" t="str">
        <f ca="1">IFERROR(__xludf.DUMMYFUNCTION("""COMPUTED_VALUE"""),"داخلي")</f>
        <v>داخلي</v>
      </c>
      <c r="E161" s="12">
        <f ca="1">IFERROR(__xludf.DUMMYFUNCTION("""COMPUTED_VALUE"""),44572)</f>
        <v>44572</v>
      </c>
      <c r="F161" s="12">
        <f ca="1">IFERROR(__xludf.DUMMYFUNCTION("""COMPUTED_VALUE"""),44572)</f>
        <v>44572</v>
      </c>
      <c r="G161" s="1" t="str">
        <f ca="1">IFERROR(__xludf.DUMMYFUNCTION("""COMPUTED_VALUE"""),"عمل حر")</f>
        <v>عمل حر</v>
      </c>
      <c r="H161" s="89" t="str">
        <f ca="1">IFERROR(__xludf.DUMMYFUNCTION("""COMPUTED_VALUE"""),"أنثى")</f>
        <v>أنثى</v>
      </c>
      <c r="I161" s="1"/>
      <c r="J161" s="6"/>
      <c r="K161" s="6"/>
      <c r="L161" s="6"/>
      <c r="M161" s="1"/>
      <c r="N161" s="1"/>
      <c r="O161" s="1"/>
      <c r="P161" s="1"/>
      <c r="Q161" s="1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spans="1:42" ht="13.5" customHeight="1">
      <c r="A162" s="88">
        <f ca="1">IFERROR(__xludf.DUMMYFUNCTION("""COMPUTED_VALUE"""),163)</f>
        <v>163</v>
      </c>
      <c r="B162" s="1" t="str">
        <f ca="1">IFERROR(__xludf.DUMMYFUNCTION("""COMPUTED_VALUE"""),"نوره عبدالرحمن محمد الموسى")</f>
        <v>نوره عبدالرحمن محمد الموسى</v>
      </c>
      <c r="C162" s="3" t="str">
        <f ca="1">IFERROR(__xludf.DUMMYFUNCTION("""COMPUTED_VALUE"""),"Nourah262")</f>
        <v>Nourah262</v>
      </c>
      <c r="D162" s="25" t="str">
        <f ca="1">IFERROR(__xludf.DUMMYFUNCTION("""COMPUTED_VALUE"""),"داخلي")</f>
        <v>داخلي</v>
      </c>
      <c r="E162" s="12">
        <f ca="1">IFERROR(__xludf.DUMMYFUNCTION("""COMPUTED_VALUE"""),44573)</f>
        <v>44573</v>
      </c>
      <c r="F162" s="12">
        <f ca="1">IFERROR(__xludf.DUMMYFUNCTION("""COMPUTED_VALUE"""),44573)</f>
        <v>44573</v>
      </c>
      <c r="G162" s="1" t="str">
        <f ca="1">IFERROR(__xludf.DUMMYFUNCTION("""COMPUTED_VALUE"""),"عقد توظيف")</f>
        <v>عقد توظيف</v>
      </c>
      <c r="H162" s="89" t="str">
        <f ca="1">IFERROR(__xludf.DUMMYFUNCTION("""COMPUTED_VALUE"""),"أنثى")</f>
        <v>أنثى</v>
      </c>
      <c r="I162" s="1"/>
      <c r="J162" s="6"/>
      <c r="K162" s="6"/>
      <c r="L162" s="6"/>
      <c r="M162" s="1"/>
      <c r="N162" s="1"/>
      <c r="O162" s="1"/>
      <c r="P162" s="1"/>
      <c r="Q162" s="1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spans="1:42" ht="13.5" customHeight="1">
      <c r="A163" s="88">
        <f ca="1">IFERROR(__xludf.DUMMYFUNCTION("""COMPUTED_VALUE"""),164)</f>
        <v>164</v>
      </c>
      <c r="B163" s="1" t="str">
        <f ca="1">IFERROR(__xludf.DUMMYFUNCTION("""COMPUTED_VALUE"""),"مناراحمد العمران")</f>
        <v>مناراحمد العمران</v>
      </c>
      <c r="C163" s="3" t="str">
        <f ca="1">IFERROR(__xludf.DUMMYFUNCTION("""COMPUTED_VALUE"""),"Manaralomran413")</f>
        <v>Manaralomran413</v>
      </c>
      <c r="D163" s="25" t="str">
        <f ca="1">IFERROR(__xludf.DUMMYFUNCTION("""COMPUTED_VALUE"""),"داخلي")</f>
        <v>داخلي</v>
      </c>
      <c r="E163" s="12">
        <f ca="1">IFERROR(__xludf.DUMMYFUNCTION("""COMPUTED_VALUE"""),44573)</f>
        <v>44573</v>
      </c>
      <c r="F163" s="12">
        <f ca="1">IFERROR(__xludf.DUMMYFUNCTION("""COMPUTED_VALUE"""),44573)</f>
        <v>44573</v>
      </c>
      <c r="G163" s="1" t="str">
        <f ca="1">IFERROR(__xludf.DUMMYFUNCTION("""COMPUTED_VALUE"""),"عمل حر")</f>
        <v>عمل حر</v>
      </c>
      <c r="H163" s="89" t="str">
        <f ca="1">IFERROR(__xludf.DUMMYFUNCTION("""COMPUTED_VALUE"""),"أنثى")</f>
        <v>أنثى</v>
      </c>
      <c r="I163" s="1"/>
      <c r="J163" s="6"/>
      <c r="K163" s="6"/>
      <c r="L163" s="6"/>
      <c r="M163" s="1"/>
      <c r="N163" s="1"/>
      <c r="O163" s="1"/>
      <c r="P163" s="1"/>
      <c r="Q163" s="1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spans="1:42" ht="13.5" customHeight="1">
      <c r="A164" s="88">
        <f ca="1">IFERROR(__xludf.DUMMYFUNCTION("""COMPUTED_VALUE"""),165)</f>
        <v>165</v>
      </c>
      <c r="B164" s="1" t="str">
        <f ca="1">IFERROR(__xludf.DUMMYFUNCTION("""COMPUTED_VALUE"""),"باسمه محمد عبدالعزيز الدايل")</f>
        <v>باسمه محمد عبدالعزيز الدايل</v>
      </c>
      <c r="C164" s="3" t="str">
        <f ca="1">IFERROR(__xludf.DUMMYFUNCTION("""COMPUTED_VALUE"""),"Sunvip04")</f>
        <v>Sunvip04</v>
      </c>
      <c r="D164" s="25" t="str">
        <f ca="1">IFERROR(__xludf.DUMMYFUNCTION("""COMPUTED_VALUE"""),"داخلي")</f>
        <v>داخلي</v>
      </c>
      <c r="E164" s="1"/>
      <c r="F164" s="1"/>
      <c r="G164" s="1" t="str">
        <f ca="1">IFERROR(__xludf.DUMMYFUNCTION("""COMPUTED_VALUE"""),"عقد توظيف")</f>
        <v>عقد توظيف</v>
      </c>
      <c r="H164" s="89" t="str">
        <f ca="1">IFERROR(__xludf.DUMMYFUNCTION("""COMPUTED_VALUE"""),"أنثى")</f>
        <v>أنثى</v>
      </c>
      <c r="I164" s="1"/>
      <c r="J164" s="6"/>
      <c r="K164" s="6"/>
      <c r="L164" s="6"/>
      <c r="M164" s="1"/>
      <c r="N164" s="1"/>
      <c r="O164" s="1"/>
      <c r="P164" s="1"/>
      <c r="Q164" s="1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spans="1:42" ht="13.5" customHeight="1">
      <c r="A165" s="88">
        <f ca="1">IFERROR(__xludf.DUMMYFUNCTION("""COMPUTED_VALUE"""),166)</f>
        <v>166</v>
      </c>
      <c r="B165" s="1" t="str">
        <f ca="1">IFERROR(__xludf.DUMMYFUNCTION("""COMPUTED_VALUE"""),"وئام خالد عبدالوهاب العبدالوهاب")</f>
        <v>وئام خالد عبدالوهاب العبدالوهاب</v>
      </c>
      <c r="C165" s="3" t="str">
        <f ca="1">IFERROR(__xludf.DUMMYFUNCTION("""COMPUTED_VALUE"""),"Weaamkhaled")</f>
        <v>Weaamkhaled</v>
      </c>
      <c r="D165" s="25" t="str">
        <f ca="1">IFERROR(__xludf.DUMMYFUNCTION("""COMPUTED_VALUE"""),"داخلي")</f>
        <v>داخلي</v>
      </c>
      <c r="E165" s="12">
        <f ca="1">IFERROR(__xludf.DUMMYFUNCTION("""COMPUTED_VALUE"""),44573)</f>
        <v>44573</v>
      </c>
      <c r="F165" s="1"/>
      <c r="G165" s="1" t="str">
        <f ca="1">IFERROR(__xludf.DUMMYFUNCTION("""COMPUTED_VALUE"""),"عمل حر")</f>
        <v>عمل حر</v>
      </c>
      <c r="H165" s="89" t="str">
        <f ca="1">IFERROR(__xludf.DUMMYFUNCTION("""COMPUTED_VALUE"""),"أنثى")</f>
        <v>أنثى</v>
      </c>
      <c r="I165" s="1"/>
      <c r="J165" s="6"/>
      <c r="K165" s="6"/>
      <c r="L165" s="6"/>
      <c r="M165" s="1"/>
      <c r="N165" s="1"/>
      <c r="O165" s="1"/>
      <c r="P165" s="1"/>
      <c r="Q165" s="1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spans="1:42" ht="13.5" customHeight="1">
      <c r="A166" s="88">
        <f ca="1">IFERROR(__xludf.DUMMYFUNCTION("""COMPUTED_VALUE"""),167)</f>
        <v>167</v>
      </c>
      <c r="B166" s="1" t="str">
        <f ca="1">IFERROR(__xludf.DUMMYFUNCTION("""COMPUTED_VALUE"""),"يوسف صالح راشد الجهني")</f>
        <v>يوسف صالح راشد الجهني</v>
      </c>
      <c r="C166" s="3" t="str">
        <f ca="1">IFERROR(__xludf.DUMMYFUNCTION("""COMPUTED_VALUE"""),"Ysrj10")</f>
        <v>Ysrj10</v>
      </c>
      <c r="D166" s="25" t="str">
        <f ca="1">IFERROR(__xludf.DUMMYFUNCTION("""COMPUTED_VALUE"""),"داخلي")</f>
        <v>داخلي</v>
      </c>
      <c r="E166" s="12">
        <f ca="1">IFERROR(__xludf.DUMMYFUNCTION("""COMPUTED_VALUE"""),44573)</f>
        <v>44573</v>
      </c>
      <c r="F166" s="12">
        <f ca="1">IFERROR(__xludf.DUMMYFUNCTION("""COMPUTED_VALUE"""),44573)</f>
        <v>44573</v>
      </c>
      <c r="G166" s="1" t="str">
        <f ca="1">IFERROR(__xludf.DUMMYFUNCTION("""COMPUTED_VALUE"""),"عمل حر")</f>
        <v>عمل حر</v>
      </c>
      <c r="H166" s="89" t="str">
        <f ca="1">IFERROR(__xludf.DUMMYFUNCTION("""COMPUTED_VALUE"""),"ذكر ")</f>
        <v xml:space="preserve">ذكر </v>
      </c>
      <c r="I166" s="1"/>
      <c r="J166" s="6"/>
      <c r="K166" s="6"/>
      <c r="L166" s="6"/>
      <c r="M166" s="1"/>
      <c r="N166" s="1"/>
      <c r="O166" s="1"/>
      <c r="P166" s="1"/>
      <c r="Q166" s="1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spans="1:42" ht="13.5" customHeight="1">
      <c r="A167" s="88">
        <f ca="1">IFERROR(__xludf.DUMMYFUNCTION("""COMPUTED_VALUE"""),168)</f>
        <v>168</v>
      </c>
      <c r="B167" s="1" t="str">
        <f ca="1">IFERROR(__xludf.DUMMYFUNCTION("""COMPUTED_VALUE"""),"عسلاء ناصر بدر العتيبي")</f>
        <v>عسلاء ناصر بدر العتيبي</v>
      </c>
      <c r="C167" s="3" t="str">
        <f ca="1">IFERROR(__xludf.DUMMYFUNCTION("""COMPUTED_VALUE"""),"Aslaa1803")</f>
        <v>Aslaa1803</v>
      </c>
      <c r="D167" s="25" t="str">
        <f ca="1">IFERROR(__xludf.DUMMYFUNCTION("""COMPUTED_VALUE"""),"داخلي")</f>
        <v>داخلي</v>
      </c>
      <c r="E167" s="12">
        <f ca="1">IFERROR(__xludf.DUMMYFUNCTION("""COMPUTED_VALUE"""),44573)</f>
        <v>44573</v>
      </c>
      <c r="F167" s="12">
        <f ca="1">IFERROR(__xludf.DUMMYFUNCTION("""COMPUTED_VALUE"""),44573)</f>
        <v>44573</v>
      </c>
      <c r="G167" s="1" t="str">
        <f ca="1">IFERROR(__xludf.DUMMYFUNCTION("""COMPUTED_VALUE"""),"عمل حر")</f>
        <v>عمل حر</v>
      </c>
      <c r="H167" s="89" t="str">
        <f ca="1">IFERROR(__xludf.DUMMYFUNCTION("""COMPUTED_VALUE"""),"أنثى")</f>
        <v>أنثى</v>
      </c>
      <c r="I167" s="1"/>
      <c r="J167" s="6"/>
      <c r="K167" s="6"/>
      <c r="L167" s="6"/>
      <c r="M167" s="1"/>
      <c r="N167" s="1"/>
      <c r="O167" s="1"/>
      <c r="P167" s="1"/>
      <c r="Q167" s="1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spans="1:42" ht="13.5" customHeight="1">
      <c r="A168" s="88">
        <f ca="1">IFERROR(__xludf.DUMMYFUNCTION("""COMPUTED_VALUE"""),169)</f>
        <v>169</v>
      </c>
      <c r="B168" s="1" t="str">
        <f ca="1">IFERROR(__xludf.DUMMYFUNCTION("""COMPUTED_VALUE"""),"ريان مفرح زاهر الشهري")</f>
        <v>ريان مفرح زاهر الشهري</v>
      </c>
      <c r="C168" s="3" t="str">
        <f ca="1">IFERROR(__xludf.DUMMYFUNCTION("""COMPUTED_VALUE"""),"1377rayan")</f>
        <v>1377rayan</v>
      </c>
      <c r="D168" s="25" t="str">
        <f ca="1">IFERROR(__xludf.DUMMYFUNCTION("""COMPUTED_VALUE"""),"داخلي")</f>
        <v>داخلي</v>
      </c>
      <c r="E168" s="12">
        <f ca="1">IFERROR(__xludf.DUMMYFUNCTION("""COMPUTED_VALUE"""),44573)</f>
        <v>44573</v>
      </c>
      <c r="F168" s="1"/>
      <c r="G168" s="1" t="str">
        <f ca="1">IFERROR(__xludf.DUMMYFUNCTION("""COMPUTED_VALUE"""),"عمل حر")</f>
        <v>عمل حر</v>
      </c>
      <c r="H168" s="89" t="str">
        <f ca="1">IFERROR(__xludf.DUMMYFUNCTION("""COMPUTED_VALUE"""),"ذكر ")</f>
        <v xml:space="preserve">ذكر </v>
      </c>
      <c r="I168" s="1"/>
      <c r="J168" s="6"/>
      <c r="K168" s="6"/>
      <c r="L168" s="6"/>
      <c r="M168" s="1"/>
      <c r="N168" s="1"/>
      <c r="O168" s="1"/>
      <c r="P168" s="1"/>
      <c r="Q168" s="1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spans="1:42" ht="13.5" customHeight="1">
      <c r="A169" s="88">
        <f ca="1">IFERROR(__xludf.DUMMYFUNCTION("""COMPUTED_VALUE"""),170)</f>
        <v>170</v>
      </c>
      <c r="B169" s="1" t="str">
        <f ca="1">IFERROR(__xludf.DUMMYFUNCTION("""COMPUTED_VALUE"""),"خالد ظافر عبدالله القرني")</f>
        <v>خالد ظافر عبدالله القرني</v>
      </c>
      <c r="C169" s="3" t="str">
        <f ca="1">IFERROR(__xludf.DUMMYFUNCTION("""COMPUTED_VALUE"""),"Qkhaled8")</f>
        <v>Qkhaled8</v>
      </c>
      <c r="D169" s="25" t="str">
        <f ca="1">IFERROR(__xludf.DUMMYFUNCTION("""COMPUTED_VALUE"""),"داخلي")</f>
        <v>داخلي</v>
      </c>
      <c r="E169" s="12">
        <f ca="1">IFERROR(__xludf.DUMMYFUNCTION("""COMPUTED_VALUE"""),44572)</f>
        <v>44572</v>
      </c>
      <c r="F169" s="12">
        <f ca="1">IFERROR(__xludf.DUMMYFUNCTION("""COMPUTED_VALUE"""),44572)</f>
        <v>44572</v>
      </c>
      <c r="G169" s="1" t="str">
        <f ca="1">IFERROR(__xludf.DUMMYFUNCTION("""COMPUTED_VALUE"""),"عقد توظيف")</f>
        <v>عقد توظيف</v>
      </c>
      <c r="H169" s="89" t="str">
        <f ca="1">IFERROR(__xludf.DUMMYFUNCTION("""COMPUTED_VALUE"""),"ذكر ")</f>
        <v xml:space="preserve">ذكر </v>
      </c>
      <c r="I169" s="1"/>
      <c r="J169" s="6"/>
      <c r="K169" s="6"/>
      <c r="L169" s="6"/>
      <c r="M169" s="1"/>
      <c r="N169" s="1"/>
      <c r="O169" s="1"/>
      <c r="P169" s="1"/>
      <c r="Q169" s="1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spans="1:42" ht="13.5" customHeight="1">
      <c r="A170" s="88">
        <f ca="1">IFERROR(__xludf.DUMMYFUNCTION("""COMPUTED_VALUE"""),171)</f>
        <v>171</v>
      </c>
      <c r="B170" s="1" t="str">
        <f ca="1">IFERROR(__xludf.DUMMYFUNCTION("""COMPUTED_VALUE"""),"نورة عبدالعزيز عبدالله المسعود")</f>
        <v>نورة عبدالعزيز عبدالله المسعود</v>
      </c>
      <c r="C170" s="3" t="str">
        <f ca="1">IFERROR(__xludf.DUMMYFUNCTION("""COMPUTED_VALUE"""),"Norahmasoud")</f>
        <v>Norahmasoud</v>
      </c>
      <c r="D170" s="25" t="str">
        <f ca="1">IFERROR(__xludf.DUMMYFUNCTION("""COMPUTED_VALUE"""),"داخلي")</f>
        <v>داخلي</v>
      </c>
      <c r="E170" s="12">
        <f ca="1">IFERROR(__xludf.DUMMYFUNCTION("""COMPUTED_VALUE"""),44573)</f>
        <v>44573</v>
      </c>
      <c r="F170" s="1"/>
      <c r="G170" s="1" t="str">
        <f ca="1">IFERROR(__xludf.DUMMYFUNCTION("""COMPUTED_VALUE"""),"عمل حر")</f>
        <v>عمل حر</v>
      </c>
      <c r="H170" s="89" t="str">
        <f ca="1">IFERROR(__xludf.DUMMYFUNCTION("""COMPUTED_VALUE"""),"أنثى")</f>
        <v>أنثى</v>
      </c>
      <c r="I170" s="1"/>
      <c r="J170" s="6"/>
      <c r="K170" s="6"/>
      <c r="L170" s="6"/>
      <c r="M170" s="1"/>
      <c r="N170" s="1"/>
      <c r="O170" s="1"/>
      <c r="P170" s="1"/>
      <c r="Q170" s="1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spans="1:42" ht="13.5" customHeight="1">
      <c r="A171" s="88">
        <f ca="1">IFERROR(__xludf.DUMMYFUNCTION("""COMPUTED_VALUE"""),172)</f>
        <v>172</v>
      </c>
      <c r="B171" s="1" t="str">
        <f ca="1">IFERROR(__xludf.DUMMYFUNCTION("""COMPUTED_VALUE"""),"ابرار عبدالرحمن الشويمان")</f>
        <v>ابرار عبدالرحمن الشويمان</v>
      </c>
      <c r="C171" s="3" t="str">
        <f ca="1">IFERROR(__xludf.DUMMYFUNCTION("""COMPUTED_VALUE"""),"Abrar14161")</f>
        <v>Abrar14161</v>
      </c>
      <c r="D171" s="25" t="str">
        <f ca="1">IFERROR(__xludf.DUMMYFUNCTION("""COMPUTED_VALUE"""),"داخلي")</f>
        <v>داخلي</v>
      </c>
      <c r="E171" s="12">
        <f ca="1">IFERROR(__xludf.DUMMYFUNCTION("""COMPUTED_VALUE"""),44577)</f>
        <v>44577</v>
      </c>
      <c r="F171" s="1"/>
      <c r="G171" s="1" t="str">
        <f ca="1">IFERROR(__xludf.DUMMYFUNCTION("""COMPUTED_VALUE"""),"عمل حر")</f>
        <v>عمل حر</v>
      </c>
      <c r="H171" s="89" t="str">
        <f ca="1">IFERROR(__xludf.DUMMYFUNCTION("""COMPUTED_VALUE"""),"أنثى")</f>
        <v>أنثى</v>
      </c>
      <c r="I171" s="1"/>
      <c r="J171" s="6"/>
      <c r="K171" s="6"/>
      <c r="L171" s="6"/>
      <c r="M171" s="1"/>
      <c r="N171" s="1"/>
      <c r="O171" s="1"/>
      <c r="P171" s="1"/>
      <c r="Q171" s="1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spans="1:42" ht="13.5" customHeight="1">
      <c r="A172" s="88">
        <f ca="1">IFERROR(__xludf.DUMMYFUNCTION("""COMPUTED_VALUE"""),173)</f>
        <v>173</v>
      </c>
      <c r="B172" s="1" t="str">
        <f ca="1">IFERROR(__xludf.DUMMYFUNCTION("""COMPUTED_VALUE"""),"بشائر عبدالله برجس المبرك")</f>
        <v>بشائر عبدالله برجس المبرك</v>
      </c>
      <c r="C172" s="3" t="str">
        <f ca="1">IFERROR(__xludf.DUMMYFUNCTION("""COMPUTED_VALUE"""),"B.almubrick")</f>
        <v>B.almubrick</v>
      </c>
      <c r="D172" s="25" t="str">
        <f ca="1">IFERROR(__xludf.DUMMYFUNCTION("""COMPUTED_VALUE"""),"داخلي")</f>
        <v>داخلي</v>
      </c>
      <c r="E172" s="12">
        <f ca="1">IFERROR(__xludf.DUMMYFUNCTION("""COMPUTED_VALUE"""),44573)</f>
        <v>44573</v>
      </c>
      <c r="F172" s="12">
        <f ca="1">IFERROR(__xludf.DUMMYFUNCTION("""COMPUTED_VALUE"""),44573)</f>
        <v>44573</v>
      </c>
      <c r="G172" s="1" t="str">
        <f ca="1">IFERROR(__xludf.DUMMYFUNCTION("""COMPUTED_VALUE"""),"عمل حر")</f>
        <v>عمل حر</v>
      </c>
      <c r="H172" s="89" t="str">
        <f ca="1">IFERROR(__xludf.DUMMYFUNCTION("""COMPUTED_VALUE"""),"أنثى")</f>
        <v>أنثى</v>
      </c>
      <c r="I172" s="1"/>
      <c r="J172" s="6"/>
      <c r="K172" s="6"/>
      <c r="L172" s="6"/>
      <c r="M172" s="1"/>
      <c r="N172" s="1"/>
      <c r="O172" s="1"/>
      <c r="P172" s="1"/>
      <c r="Q172" s="1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spans="1:42" ht="13.5" customHeight="1">
      <c r="A173" s="88">
        <f ca="1">IFERROR(__xludf.DUMMYFUNCTION("""COMPUTED_VALUE"""),174)</f>
        <v>174</v>
      </c>
      <c r="B173" s="1" t="str">
        <f ca="1">IFERROR(__xludf.DUMMYFUNCTION("""COMPUTED_VALUE"""),"ريوف محمد صالح الدوسري")</f>
        <v>ريوف محمد صالح الدوسري</v>
      </c>
      <c r="C173" s="3" t="str">
        <f ca="1">IFERROR(__xludf.DUMMYFUNCTION("""COMPUTED_VALUE"""),"Rewwoof")</f>
        <v>Rewwoof</v>
      </c>
      <c r="D173" s="25" t="str">
        <f ca="1">IFERROR(__xludf.DUMMYFUNCTION("""COMPUTED_VALUE"""),"داخلي")</f>
        <v>داخلي</v>
      </c>
      <c r="E173" s="12">
        <f ca="1">IFERROR(__xludf.DUMMYFUNCTION("""COMPUTED_VALUE"""),44573)</f>
        <v>44573</v>
      </c>
      <c r="F173" s="12">
        <f ca="1">IFERROR(__xludf.DUMMYFUNCTION("""COMPUTED_VALUE"""),44573)</f>
        <v>44573</v>
      </c>
      <c r="G173" s="1" t="str">
        <f ca="1">IFERROR(__xludf.DUMMYFUNCTION("""COMPUTED_VALUE"""),"عمل حر")</f>
        <v>عمل حر</v>
      </c>
      <c r="H173" s="89" t="str">
        <f ca="1">IFERROR(__xludf.DUMMYFUNCTION("""COMPUTED_VALUE"""),"أنثى")</f>
        <v>أنثى</v>
      </c>
      <c r="I173" s="1"/>
      <c r="J173" s="6"/>
      <c r="K173" s="6"/>
      <c r="L173" s="6"/>
      <c r="M173" s="1"/>
      <c r="N173" s="1"/>
      <c r="O173" s="1"/>
      <c r="P173" s="1"/>
      <c r="Q173" s="1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spans="1:42" ht="13.5" customHeight="1">
      <c r="A174" s="88">
        <f ca="1">IFERROR(__xludf.DUMMYFUNCTION("""COMPUTED_VALUE"""),175)</f>
        <v>175</v>
      </c>
      <c r="B174" s="1" t="str">
        <f ca="1">IFERROR(__xludf.DUMMYFUNCTION("""COMPUTED_VALUE"""),"عبدالملك عبدالله صالح السلامة")</f>
        <v>عبدالملك عبدالله صالح السلامة</v>
      </c>
      <c r="C174" s="3" t="str">
        <f ca="1">IFERROR(__xludf.DUMMYFUNCTION("""COMPUTED_VALUE"""),"Abdulmalik.salamh")</f>
        <v>Abdulmalik.salamh</v>
      </c>
      <c r="D174" s="25" t="str">
        <f ca="1">IFERROR(__xludf.DUMMYFUNCTION("""COMPUTED_VALUE"""),"داخلي")</f>
        <v>داخلي</v>
      </c>
      <c r="E174" s="12">
        <f ca="1">IFERROR(__xludf.DUMMYFUNCTION("""COMPUTED_VALUE"""),44577)</f>
        <v>44577</v>
      </c>
      <c r="F174" s="1"/>
      <c r="G174" s="1" t="str">
        <f ca="1">IFERROR(__xludf.DUMMYFUNCTION("""COMPUTED_VALUE"""),"عمل حر")</f>
        <v>عمل حر</v>
      </c>
      <c r="H174" s="89" t="str">
        <f ca="1">IFERROR(__xludf.DUMMYFUNCTION("""COMPUTED_VALUE"""),"ذكر ")</f>
        <v xml:space="preserve">ذكر </v>
      </c>
      <c r="I174" s="1"/>
      <c r="J174" s="6"/>
      <c r="K174" s="6"/>
      <c r="L174" s="6"/>
      <c r="M174" s="1"/>
      <c r="N174" s="1"/>
      <c r="O174" s="1"/>
      <c r="P174" s="1"/>
      <c r="Q174" s="1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spans="1:42" ht="13.5" customHeight="1">
      <c r="A175" s="88">
        <f ca="1">IFERROR(__xludf.DUMMYFUNCTION("""COMPUTED_VALUE"""),176)</f>
        <v>176</v>
      </c>
      <c r="B175" s="1" t="str">
        <f ca="1">IFERROR(__xludf.DUMMYFUNCTION("""COMPUTED_VALUE"""),"سعيد محمد قبلان القحطاني")</f>
        <v>سعيد محمد قبلان القحطاني</v>
      </c>
      <c r="C175" s="3" t="str">
        <f ca="1">IFERROR(__xludf.DUMMYFUNCTION("""COMPUTED_VALUE"""),"Saeed_qp")</f>
        <v>Saeed_qp</v>
      </c>
      <c r="D175" s="25" t="str">
        <f ca="1">IFERROR(__xludf.DUMMYFUNCTION("""COMPUTED_VALUE"""),"داخلي")</f>
        <v>داخلي</v>
      </c>
      <c r="E175" s="1"/>
      <c r="F175" s="1"/>
      <c r="G175" s="1" t="str">
        <f ca="1">IFERROR(__xludf.DUMMYFUNCTION("""COMPUTED_VALUE"""),"عقد توظيف")</f>
        <v>عقد توظيف</v>
      </c>
      <c r="H175" s="89" t="str">
        <f ca="1">IFERROR(__xludf.DUMMYFUNCTION("""COMPUTED_VALUE"""),"ذكر ")</f>
        <v xml:space="preserve">ذكر </v>
      </c>
      <c r="I175" s="1"/>
      <c r="J175" s="6"/>
      <c r="K175" s="6"/>
      <c r="L175" s="6"/>
      <c r="M175" s="1"/>
      <c r="N175" s="1"/>
      <c r="O175" s="1"/>
      <c r="P175" s="1"/>
      <c r="Q175" s="1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spans="1:42" ht="13.5" customHeight="1">
      <c r="A176" s="88">
        <f ca="1">IFERROR(__xludf.DUMMYFUNCTION("""COMPUTED_VALUE"""),177)</f>
        <v>177</v>
      </c>
      <c r="B176" s="1" t="str">
        <f ca="1">IFERROR(__xludf.DUMMYFUNCTION("""COMPUTED_VALUE"""),"فيصل محمد هادي القحطاني")</f>
        <v>فيصل محمد هادي القحطاني</v>
      </c>
      <c r="C176" s="3" t="str">
        <f ca="1">IFERROR(__xludf.DUMMYFUNCTION("""COMPUTED_VALUE"""),"Fqhtani")</f>
        <v>Fqhtani</v>
      </c>
      <c r="D176" s="25" t="str">
        <f ca="1">IFERROR(__xludf.DUMMYFUNCTION("""COMPUTED_VALUE"""),"داخلي")</f>
        <v>داخلي</v>
      </c>
      <c r="E176" s="12">
        <f ca="1">IFERROR(__xludf.DUMMYFUNCTION("""COMPUTED_VALUE"""),44573)</f>
        <v>44573</v>
      </c>
      <c r="F176" s="12">
        <f ca="1">IFERROR(__xludf.DUMMYFUNCTION("""COMPUTED_VALUE"""),44573)</f>
        <v>44573</v>
      </c>
      <c r="G176" s="1" t="str">
        <f ca="1">IFERROR(__xludf.DUMMYFUNCTION("""COMPUTED_VALUE"""),"عمل حر")</f>
        <v>عمل حر</v>
      </c>
      <c r="H176" s="89" t="str">
        <f ca="1">IFERROR(__xludf.DUMMYFUNCTION("""COMPUTED_VALUE"""),"ذكر ")</f>
        <v xml:space="preserve">ذكر </v>
      </c>
      <c r="I176" s="1"/>
      <c r="J176" s="6"/>
      <c r="K176" s="10"/>
      <c r="L176" s="10"/>
      <c r="M176" s="1"/>
      <c r="N176" s="1"/>
      <c r="O176" s="1"/>
      <c r="P176" s="1"/>
      <c r="Q176" s="1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spans="1:42" ht="13.5" customHeight="1">
      <c r="A177" s="88">
        <f ca="1">IFERROR(__xludf.DUMMYFUNCTION("""COMPUTED_VALUE"""),178)</f>
        <v>178</v>
      </c>
      <c r="B177" s="1" t="str">
        <f ca="1">IFERROR(__xludf.DUMMYFUNCTION("""COMPUTED_VALUE"""),"بندر شويمي محمد الشويمي")</f>
        <v>بندر شويمي محمد الشويمي</v>
      </c>
      <c r="C177" s="3" t="str">
        <f ca="1">IFERROR(__xludf.DUMMYFUNCTION("""COMPUTED_VALUE"""),"Bander.363")</f>
        <v>Bander.363</v>
      </c>
      <c r="D177" s="25" t="str">
        <f ca="1">IFERROR(__xludf.DUMMYFUNCTION("""COMPUTED_VALUE"""),"داخلي")</f>
        <v>داخلي</v>
      </c>
      <c r="E177" s="12">
        <f ca="1">IFERROR(__xludf.DUMMYFUNCTION("""COMPUTED_VALUE"""),44573)</f>
        <v>44573</v>
      </c>
      <c r="F177" s="12">
        <f ca="1">IFERROR(__xludf.DUMMYFUNCTION("""COMPUTED_VALUE"""),44573)</f>
        <v>44573</v>
      </c>
      <c r="G177" s="1" t="str">
        <f ca="1">IFERROR(__xludf.DUMMYFUNCTION("""COMPUTED_VALUE"""),"عمل حر")</f>
        <v>عمل حر</v>
      </c>
      <c r="H177" s="89" t="str">
        <f ca="1">IFERROR(__xludf.DUMMYFUNCTION("""COMPUTED_VALUE"""),"ذكر ")</f>
        <v xml:space="preserve">ذكر </v>
      </c>
      <c r="I177" s="1"/>
      <c r="J177" s="6"/>
      <c r="K177" s="6"/>
      <c r="L177" s="6"/>
      <c r="M177" s="1"/>
      <c r="N177" s="1"/>
      <c r="O177" s="1"/>
      <c r="P177" s="1"/>
      <c r="Q177" s="1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spans="1:42" ht="13.5" customHeight="1">
      <c r="A178" s="88">
        <f ca="1">IFERROR(__xludf.DUMMYFUNCTION("""COMPUTED_VALUE"""),179)</f>
        <v>179</v>
      </c>
      <c r="B178" s="1" t="str">
        <f ca="1">IFERROR(__xludf.DUMMYFUNCTION("""COMPUTED_VALUE"""),"ملاك منصور سالم الشهراني")</f>
        <v>ملاك منصور سالم الشهراني</v>
      </c>
      <c r="C178" s="3" t="str">
        <f ca="1">IFERROR(__xludf.DUMMYFUNCTION("""COMPUTED_VALUE"""),"Malak-1423")</f>
        <v>Malak-1423</v>
      </c>
      <c r="D178" s="25" t="str">
        <f ca="1">IFERROR(__xludf.DUMMYFUNCTION("""COMPUTED_VALUE"""),"داخلي")</f>
        <v>داخلي</v>
      </c>
      <c r="E178" s="1"/>
      <c r="F178" s="1"/>
      <c r="G178" s="1" t="str">
        <f ca="1">IFERROR(__xludf.DUMMYFUNCTION("""COMPUTED_VALUE"""),"عقد توظيف")</f>
        <v>عقد توظيف</v>
      </c>
      <c r="H178" s="89" t="str">
        <f ca="1">IFERROR(__xludf.DUMMYFUNCTION("""COMPUTED_VALUE"""),"أنثى")</f>
        <v>أنثى</v>
      </c>
      <c r="I178" s="1"/>
      <c r="J178" s="6"/>
      <c r="K178" s="6"/>
      <c r="L178" s="6"/>
      <c r="M178" s="1"/>
      <c r="N178" s="1"/>
      <c r="O178" s="1"/>
      <c r="P178" s="1"/>
      <c r="Q178" s="1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spans="1:42" ht="13.5" customHeight="1">
      <c r="A179" s="88">
        <f ca="1">IFERROR(__xludf.DUMMYFUNCTION("""COMPUTED_VALUE"""),180)</f>
        <v>180</v>
      </c>
      <c r="B179" s="1" t="str">
        <f ca="1">IFERROR(__xludf.DUMMYFUNCTION("""COMPUTED_VALUE"""),"ساره عبدالله سليمان الغفيص")</f>
        <v>ساره عبدالله سليمان الغفيص</v>
      </c>
      <c r="C179" s="3" t="str">
        <f ca="1">IFERROR(__xludf.DUMMYFUNCTION("""COMPUTED_VALUE"""),"S.a.r.a.112233")</f>
        <v>S.a.r.a.112233</v>
      </c>
      <c r="D179" s="25" t="str">
        <f ca="1">IFERROR(__xludf.DUMMYFUNCTION("""COMPUTED_VALUE"""),"داخلي")</f>
        <v>داخلي</v>
      </c>
      <c r="E179" s="12">
        <f ca="1">IFERROR(__xludf.DUMMYFUNCTION("""COMPUTED_VALUE"""),44572)</f>
        <v>44572</v>
      </c>
      <c r="F179" s="12">
        <f ca="1">IFERROR(__xludf.DUMMYFUNCTION("""COMPUTED_VALUE"""),44572)</f>
        <v>44572</v>
      </c>
      <c r="G179" s="1" t="str">
        <f ca="1">IFERROR(__xludf.DUMMYFUNCTION("""COMPUTED_VALUE"""),"عمل حر")</f>
        <v>عمل حر</v>
      </c>
      <c r="H179" s="89" t="str">
        <f ca="1">IFERROR(__xludf.DUMMYFUNCTION("""COMPUTED_VALUE"""),"أنثى")</f>
        <v>أنثى</v>
      </c>
      <c r="I179" s="1"/>
      <c r="J179" s="6"/>
      <c r="K179" s="6"/>
      <c r="L179" s="6"/>
      <c r="M179" s="1"/>
      <c r="N179" s="1"/>
      <c r="O179" s="1"/>
      <c r="P179" s="1"/>
      <c r="Q179" s="1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spans="1:42" ht="13.5" customHeight="1">
      <c r="A180" s="88">
        <f ca="1">IFERROR(__xludf.DUMMYFUNCTION("""COMPUTED_VALUE"""),181)</f>
        <v>181</v>
      </c>
      <c r="B180" s="1" t="str">
        <f ca="1">IFERROR(__xludf.DUMMYFUNCTION("""COMPUTED_VALUE"""),"سلطان عبدالله محمد السلطان")</f>
        <v>سلطان عبدالله محمد السلطان</v>
      </c>
      <c r="C180" s="3" t="str">
        <f ca="1">IFERROR(__xludf.DUMMYFUNCTION("""COMPUTED_VALUE"""),"Samals")</f>
        <v>Samals</v>
      </c>
      <c r="D180" s="25" t="str">
        <f ca="1">IFERROR(__xludf.DUMMYFUNCTION("""COMPUTED_VALUE"""),"داخلي")</f>
        <v>داخلي</v>
      </c>
      <c r="E180" s="12">
        <f ca="1">IFERROR(__xludf.DUMMYFUNCTION("""COMPUTED_VALUE"""),44573)</f>
        <v>44573</v>
      </c>
      <c r="F180" s="12">
        <f ca="1">IFERROR(__xludf.DUMMYFUNCTION("""COMPUTED_VALUE"""),44573)</f>
        <v>44573</v>
      </c>
      <c r="G180" s="1" t="str">
        <f ca="1">IFERROR(__xludf.DUMMYFUNCTION("""COMPUTED_VALUE"""),"عمل حر")</f>
        <v>عمل حر</v>
      </c>
      <c r="H180" s="89" t="str">
        <f ca="1">IFERROR(__xludf.DUMMYFUNCTION("""COMPUTED_VALUE"""),"ذكر ")</f>
        <v xml:space="preserve">ذكر </v>
      </c>
      <c r="I180" s="1"/>
      <c r="J180" s="6"/>
      <c r="K180" s="6"/>
      <c r="L180" s="6"/>
      <c r="M180" s="1"/>
      <c r="N180" s="1"/>
      <c r="O180" s="1"/>
      <c r="P180" s="1"/>
      <c r="Q180" s="1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spans="1:42" ht="13.5" customHeight="1">
      <c r="A181" s="88">
        <f ca="1">IFERROR(__xludf.DUMMYFUNCTION("""COMPUTED_VALUE"""),182)</f>
        <v>182</v>
      </c>
      <c r="B181" s="1" t="str">
        <f ca="1">IFERROR(__xludf.DUMMYFUNCTION("""COMPUTED_VALUE"""),"سلطان ردن سعد الحربي")</f>
        <v>سلطان ردن سعد الحربي</v>
      </c>
      <c r="C181" s="3" t="str">
        <f ca="1">IFERROR(__xludf.DUMMYFUNCTION("""COMPUTED_VALUE"""),"Srsharbi1")</f>
        <v>Srsharbi1</v>
      </c>
      <c r="D181" s="25" t="str">
        <f ca="1">IFERROR(__xludf.DUMMYFUNCTION("""COMPUTED_VALUE"""),"داخلي")</f>
        <v>داخلي</v>
      </c>
      <c r="E181" s="12">
        <f ca="1">IFERROR(__xludf.DUMMYFUNCTION("""COMPUTED_VALUE"""),44574)</f>
        <v>44574</v>
      </c>
      <c r="F181" s="1"/>
      <c r="G181" s="1" t="str">
        <f ca="1">IFERROR(__xludf.DUMMYFUNCTION("""COMPUTED_VALUE"""),"عمل حر")</f>
        <v>عمل حر</v>
      </c>
      <c r="H181" s="89" t="str">
        <f ca="1">IFERROR(__xludf.DUMMYFUNCTION("""COMPUTED_VALUE"""),"ذكر ")</f>
        <v xml:space="preserve">ذكر </v>
      </c>
      <c r="I181" s="1"/>
      <c r="J181" s="6"/>
      <c r="K181" s="6"/>
      <c r="L181" s="10"/>
      <c r="M181" s="1"/>
      <c r="N181" s="1"/>
      <c r="O181" s="1"/>
      <c r="P181" s="1"/>
      <c r="Q181" s="1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spans="1:42" ht="13.5" customHeight="1">
      <c r="A182" s="88">
        <f ca="1">IFERROR(__xludf.DUMMYFUNCTION("""COMPUTED_VALUE"""),183)</f>
        <v>183</v>
      </c>
      <c r="B182" s="1" t="str">
        <f ca="1">IFERROR(__xludf.DUMMYFUNCTION("""COMPUTED_VALUE"""),"عبدالعزيز علي محمد العجلان")</f>
        <v>عبدالعزيز علي محمد العجلان</v>
      </c>
      <c r="C182" s="3" t="str">
        <f ca="1">IFERROR(__xludf.DUMMYFUNCTION("""COMPUTED_VALUE"""),"Abdaalajlan")</f>
        <v>Abdaalajlan</v>
      </c>
      <c r="D182" s="25" t="str">
        <f ca="1">IFERROR(__xludf.DUMMYFUNCTION("""COMPUTED_VALUE"""),"داخلي")</f>
        <v>داخلي</v>
      </c>
      <c r="E182" s="12">
        <f ca="1">IFERROR(__xludf.DUMMYFUNCTION("""COMPUTED_VALUE"""),44531)</f>
        <v>44531</v>
      </c>
      <c r="F182" s="12">
        <f ca="1">IFERROR(__xludf.DUMMYFUNCTION("""COMPUTED_VALUE"""),44531)</f>
        <v>44531</v>
      </c>
      <c r="G182" s="1" t="str">
        <f ca="1">IFERROR(__xludf.DUMMYFUNCTION("""COMPUTED_VALUE"""),"عمل حر")</f>
        <v>عمل حر</v>
      </c>
      <c r="H182" s="89" t="str">
        <f ca="1">IFERROR(__xludf.DUMMYFUNCTION("""COMPUTED_VALUE"""),"ذكر ")</f>
        <v xml:space="preserve">ذكر </v>
      </c>
      <c r="I182" s="1"/>
      <c r="J182" s="6"/>
      <c r="K182" s="10"/>
      <c r="L182" s="10"/>
      <c r="M182" s="1"/>
      <c r="N182" s="1"/>
      <c r="O182" s="1"/>
      <c r="P182" s="1"/>
      <c r="Q182" s="1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spans="1:42" ht="13.5" customHeight="1">
      <c r="A183" s="88">
        <f ca="1">IFERROR(__xludf.DUMMYFUNCTION("""COMPUTED_VALUE"""),184)</f>
        <v>184</v>
      </c>
      <c r="B183" s="1" t="str">
        <f ca="1">IFERROR(__xludf.DUMMYFUNCTION("""COMPUTED_VALUE"""),"نوف فهد محمد السيف")</f>
        <v>نوف فهد محمد السيف</v>
      </c>
      <c r="C183" s="3" t="str">
        <f ca="1">IFERROR(__xludf.DUMMYFUNCTION("""COMPUTED_VALUE"""),"Nsaif")</f>
        <v>Nsaif</v>
      </c>
      <c r="D183" s="25" t="str">
        <f ca="1">IFERROR(__xludf.DUMMYFUNCTION("""COMPUTED_VALUE"""),"داخلي")</f>
        <v>داخلي</v>
      </c>
      <c r="E183" s="24">
        <f ca="1">IFERROR(__xludf.DUMMYFUNCTION("""COMPUTED_VALUE"""),44552)</f>
        <v>44552</v>
      </c>
      <c r="F183" s="24">
        <f ca="1">IFERROR(__xludf.DUMMYFUNCTION("""COMPUTED_VALUE"""),44552)</f>
        <v>44552</v>
      </c>
      <c r="G183" s="1" t="str">
        <f ca="1">IFERROR(__xludf.DUMMYFUNCTION("""COMPUTED_VALUE"""),"عمل حر")</f>
        <v>عمل حر</v>
      </c>
      <c r="H183" s="89" t="str">
        <f ca="1">IFERROR(__xludf.DUMMYFUNCTION("""COMPUTED_VALUE"""),"أنثى")</f>
        <v>أنثى</v>
      </c>
      <c r="I183" s="1"/>
      <c r="J183" s="6"/>
      <c r="K183" s="10"/>
      <c r="L183" s="10"/>
      <c r="M183" s="1"/>
      <c r="N183" s="1"/>
      <c r="O183" s="1"/>
      <c r="P183" s="1"/>
      <c r="Q183" s="1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spans="1:42" ht="13.5" customHeight="1">
      <c r="A184" s="94">
        <v>185</v>
      </c>
      <c r="B184" s="95" t="str">
        <f ca="1">IFERROR(__xludf.DUMMYFUNCTION("""COMPUTED_VALUE"""),"اماني سعد ابراهيم الشقراوي")</f>
        <v>اماني سعد ابراهيم الشقراوي</v>
      </c>
      <c r="C184" s="96" t="str">
        <f ca="1">IFERROR(__xludf.DUMMYFUNCTION("""COMPUTED_VALUE"""),"Asalshkraoi")</f>
        <v>Asalshkraoi</v>
      </c>
      <c r="D184" s="96" t="str">
        <f ca="1">IFERROR(__xludf.DUMMYFUNCTION("""COMPUTED_VALUE"""),"داخلي")</f>
        <v>داخلي</v>
      </c>
      <c r="E184" s="97">
        <f ca="1">IFERROR(__xludf.DUMMYFUNCTION("""COMPUTED_VALUE"""),44531)</f>
        <v>44531</v>
      </c>
      <c r="F184" s="97">
        <f ca="1">IFERROR(__xludf.DUMMYFUNCTION("""COMPUTED_VALUE"""),44531)</f>
        <v>44531</v>
      </c>
      <c r="G184" s="95" t="str">
        <f ca="1">IFERROR(__xludf.DUMMYFUNCTION("""COMPUTED_VALUE"""),"عمل حر")</f>
        <v>عمل حر</v>
      </c>
      <c r="H184" s="98" t="str">
        <f ca="1">IFERROR(__xludf.DUMMYFUNCTION("""COMPUTED_VALUE"""),"أنثى")</f>
        <v>أنثى</v>
      </c>
      <c r="I184" s="1"/>
      <c r="J184" s="6"/>
      <c r="K184" s="10"/>
      <c r="L184" s="10"/>
      <c r="M184" s="1"/>
      <c r="N184" s="1"/>
      <c r="O184" s="1"/>
      <c r="P184" s="1"/>
      <c r="Q184" s="1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spans="1:42" ht="13.5" customHeight="1">
      <c r="A185" s="1"/>
      <c r="B185" s="1"/>
      <c r="C185" s="3"/>
      <c r="D185" s="1"/>
      <c r="E185" s="1"/>
      <c r="F185" s="1"/>
      <c r="G185" s="1"/>
      <c r="H185" s="1"/>
      <c r="I185" s="1"/>
      <c r="J185" s="6"/>
      <c r="K185" s="6"/>
      <c r="L185" s="6"/>
      <c r="M185" s="1"/>
      <c r="N185" s="1"/>
      <c r="O185" s="1"/>
      <c r="P185" s="1"/>
      <c r="Q185" s="1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spans="1:42" ht="13.5" customHeight="1">
      <c r="A186" s="1"/>
      <c r="B186" s="1"/>
      <c r="C186" s="3"/>
      <c r="D186" s="1"/>
      <c r="E186" s="1"/>
      <c r="F186" s="1"/>
      <c r="G186" s="1"/>
      <c r="H186" s="1"/>
      <c r="I186" s="1"/>
      <c r="J186" s="6"/>
      <c r="K186" s="6"/>
      <c r="L186" s="6"/>
      <c r="M186" s="1"/>
      <c r="N186" s="1"/>
      <c r="O186" s="1"/>
      <c r="P186" s="1"/>
      <c r="Q186" s="1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spans="1:42" ht="13.5" customHeight="1">
      <c r="A187" s="1"/>
      <c r="B187" s="1"/>
      <c r="C187" s="3"/>
      <c r="D187" s="1"/>
      <c r="E187" s="1"/>
      <c r="F187" s="1"/>
      <c r="G187" s="1"/>
      <c r="H187" s="1"/>
      <c r="I187" s="1"/>
      <c r="J187" s="6"/>
      <c r="K187" s="6"/>
      <c r="L187" s="6"/>
      <c r="M187" s="1"/>
      <c r="N187" s="1"/>
      <c r="O187" s="1"/>
      <c r="P187" s="1"/>
      <c r="Q187" s="1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spans="1:42" ht="13.5" customHeight="1">
      <c r="A188" s="1"/>
      <c r="B188" s="1"/>
      <c r="C188" s="3"/>
      <c r="D188" s="1"/>
      <c r="E188" s="1"/>
      <c r="F188" s="1"/>
      <c r="G188" s="1"/>
      <c r="H188" s="1"/>
      <c r="I188" s="1"/>
      <c r="J188" s="6"/>
      <c r="K188" s="6"/>
      <c r="L188" s="6"/>
      <c r="M188" s="1"/>
      <c r="N188" s="1"/>
      <c r="O188" s="1"/>
      <c r="P188" s="1"/>
      <c r="Q188" s="1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spans="1:42" ht="13.5" customHeight="1">
      <c r="A189" s="1"/>
      <c r="B189" s="1"/>
      <c r="C189" s="3"/>
      <c r="D189" s="1"/>
      <c r="E189" s="1"/>
      <c r="F189" s="1"/>
      <c r="G189" s="1"/>
      <c r="H189" s="1"/>
      <c r="I189" s="1"/>
      <c r="J189" s="6"/>
      <c r="K189" s="6"/>
      <c r="L189" s="6"/>
      <c r="M189" s="1"/>
      <c r="N189" s="1"/>
      <c r="O189" s="1"/>
      <c r="P189" s="1"/>
      <c r="Q189" s="1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spans="1:42" ht="13.5" customHeight="1">
      <c r="A190" s="1"/>
      <c r="B190" s="1"/>
      <c r="C190" s="3"/>
      <c r="D190" s="1"/>
      <c r="E190" s="1"/>
      <c r="F190" s="1"/>
      <c r="G190" s="1"/>
      <c r="H190" s="1"/>
      <c r="I190" s="1"/>
      <c r="J190" s="6"/>
      <c r="K190" s="6"/>
      <c r="L190" s="6"/>
      <c r="M190" s="1"/>
      <c r="N190" s="1"/>
      <c r="O190" s="1"/>
      <c r="P190" s="1"/>
      <c r="Q190" s="1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:42" ht="13.5" customHeight="1">
      <c r="A191" s="1"/>
      <c r="B191" s="1"/>
      <c r="C191" s="3"/>
      <c r="D191" s="1"/>
      <c r="E191" s="1"/>
      <c r="F191" s="1"/>
      <c r="G191" s="1"/>
      <c r="H191" s="1"/>
      <c r="I191" s="1"/>
      <c r="J191" s="6"/>
      <c r="K191" s="6"/>
      <c r="L191" s="6"/>
      <c r="M191" s="1"/>
      <c r="N191" s="1"/>
      <c r="O191" s="1"/>
      <c r="P191" s="1"/>
      <c r="Q191" s="1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:42" ht="13.5" customHeight="1">
      <c r="A192" s="1"/>
      <c r="B192" s="1"/>
      <c r="C192" s="3"/>
      <c r="D192" s="1"/>
      <c r="E192" s="1"/>
      <c r="F192" s="1"/>
      <c r="G192" s="1"/>
      <c r="H192" s="1"/>
      <c r="I192" s="1"/>
      <c r="J192" s="6"/>
      <c r="K192" s="6"/>
      <c r="L192" s="6"/>
      <c r="M192" s="1"/>
      <c r="N192" s="1"/>
      <c r="O192" s="1"/>
      <c r="P192" s="1"/>
      <c r="Q192" s="1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:42" ht="13.5" customHeight="1">
      <c r="A193" s="1"/>
      <c r="B193" s="1"/>
      <c r="C193" s="3"/>
      <c r="D193" s="1"/>
      <c r="E193" s="1"/>
      <c r="F193" s="1"/>
      <c r="G193" s="1"/>
      <c r="H193" s="1"/>
      <c r="I193" s="1"/>
      <c r="J193" s="6"/>
      <c r="K193" s="6"/>
      <c r="L193" s="6"/>
      <c r="M193" s="1"/>
      <c r="N193" s="1"/>
      <c r="O193" s="1"/>
      <c r="P193" s="1"/>
      <c r="Q193" s="1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ht="13.5" customHeight="1">
      <c r="A194" s="1"/>
      <c r="B194" s="1"/>
      <c r="C194" s="3"/>
      <c r="D194" s="1"/>
      <c r="E194" s="1"/>
      <c r="F194" s="1"/>
      <c r="G194" s="1"/>
      <c r="H194" s="1"/>
      <c r="I194" s="1"/>
      <c r="J194" s="6"/>
      <c r="K194" s="6"/>
      <c r="L194" s="6"/>
      <c r="M194" s="1"/>
      <c r="N194" s="1"/>
      <c r="O194" s="1"/>
      <c r="P194" s="1"/>
      <c r="Q194" s="1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ht="13.5" customHeight="1">
      <c r="A195" s="1"/>
      <c r="B195" s="1"/>
      <c r="C195" s="3"/>
      <c r="D195" s="1"/>
      <c r="E195" s="1"/>
      <c r="F195" s="1"/>
      <c r="G195" s="1"/>
      <c r="H195" s="1"/>
      <c r="I195" s="1"/>
      <c r="J195" s="6"/>
      <c r="K195" s="6"/>
      <c r="L195" s="6"/>
      <c r="M195" s="1"/>
      <c r="N195" s="1"/>
      <c r="O195" s="1"/>
      <c r="P195" s="1"/>
      <c r="Q195" s="1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ht="13.5" customHeight="1">
      <c r="A196" s="1"/>
      <c r="B196" s="1"/>
      <c r="C196" s="3"/>
      <c r="D196" s="1"/>
      <c r="E196" s="1"/>
      <c r="F196" s="1"/>
      <c r="G196" s="1"/>
      <c r="H196" s="1"/>
      <c r="I196" s="1"/>
      <c r="J196" s="6"/>
      <c r="K196" s="6"/>
      <c r="L196" s="6"/>
      <c r="M196" s="1"/>
      <c r="N196" s="1"/>
      <c r="O196" s="1"/>
      <c r="P196" s="1"/>
      <c r="Q196" s="1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ht="13.5" customHeight="1">
      <c r="A197" s="1"/>
      <c r="B197" s="1"/>
      <c r="C197" s="3"/>
      <c r="D197" s="1"/>
      <c r="E197" s="1"/>
      <c r="F197" s="1"/>
      <c r="G197" s="1"/>
      <c r="H197" s="1"/>
      <c r="I197" s="1"/>
      <c r="J197" s="6"/>
      <c r="K197" s="6"/>
      <c r="L197" s="6"/>
      <c r="M197" s="1"/>
      <c r="N197" s="1"/>
      <c r="O197" s="1"/>
      <c r="P197" s="1"/>
      <c r="Q197" s="1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ht="13.5" customHeight="1">
      <c r="A198" s="1"/>
      <c r="B198" s="1"/>
      <c r="C198" s="3"/>
      <c r="D198" s="1"/>
      <c r="E198" s="1"/>
      <c r="F198" s="1"/>
      <c r="G198" s="1"/>
      <c r="H198" s="1"/>
      <c r="I198" s="1"/>
      <c r="J198" s="6"/>
      <c r="K198" s="6"/>
      <c r="L198" s="6"/>
      <c r="M198" s="1"/>
      <c r="N198" s="1"/>
      <c r="O198" s="1"/>
      <c r="P198" s="1"/>
      <c r="Q198" s="1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ht="13.5" customHeight="1">
      <c r="A199" s="1"/>
      <c r="B199" s="1"/>
      <c r="C199" s="3"/>
      <c r="D199" s="1"/>
      <c r="E199" s="1"/>
      <c r="F199" s="1"/>
      <c r="G199" s="1"/>
      <c r="H199" s="1"/>
      <c r="I199" s="1"/>
      <c r="J199" s="6"/>
      <c r="K199" s="6"/>
      <c r="L199" s="6"/>
      <c r="M199" s="1"/>
      <c r="N199" s="1"/>
      <c r="O199" s="1"/>
      <c r="P199" s="1"/>
      <c r="Q199" s="1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ht="13.5" customHeight="1">
      <c r="A200" s="1"/>
      <c r="B200" s="1"/>
      <c r="C200" s="3"/>
      <c r="D200" s="1"/>
      <c r="E200" s="1"/>
      <c r="F200" s="1"/>
      <c r="G200" s="1"/>
      <c r="H200" s="1"/>
      <c r="I200" s="1"/>
      <c r="J200" s="6"/>
      <c r="K200" s="6"/>
      <c r="L200" s="6"/>
      <c r="M200" s="1"/>
      <c r="N200" s="1"/>
      <c r="O200" s="1"/>
      <c r="P200" s="1"/>
      <c r="Q200" s="1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ht="13.5" customHeight="1">
      <c r="A201" s="1"/>
      <c r="B201" s="1"/>
      <c r="C201" s="3"/>
      <c r="D201" s="1"/>
      <c r="E201" s="1"/>
      <c r="F201" s="1"/>
      <c r="G201" s="1"/>
      <c r="H201" s="1"/>
      <c r="I201" s="1"/>
      <c r="J201" s="6"/>
      <c r="K201" s="6"/>
      <c r="L201" s="6"/>
      <c r="M201" s="1"/>
      <c r="N201" s="1"/>
      <c r="O201" s="1"/>
      <c r="P201" s="1"/>
      <c r="Q201" s="1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ht="13.5" customHeight="1">
      <c r="A202" s="1"/>
      <c r="B202" s="1"/>
      <c r="C202" s="3"/>
      <c r="D202" s="1"/>
      <c r="E202" s="1"/>
      <c r="F202" s="1"/>
      <c r="G202" s="1"/>
      <c r="H202" s="1"/>
      <c r="I202" s="1"/>
      <c r="J202" s="6"/>
      <c r="K202" s="6"/>
      <c r="L202" s="6"/>
      <c r="M202" s="1"/>
      <c r="N202" s="1"/>
      <c r="O202" s="1"/>
      <c r="P202" s="1"/>
      <c r="Q202" s="1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ht="13.5" customHeight="1">
      <c r="A203" s="1"/>
      <c r="B203" s="1"/>
      <c r="C203" s="3"/>
      <c r="D203" s="1"/>
      <c r="E203" s="1"/>
      <c r="F203" s="1"/>
      <c r="G203" s="1"/>
      <c r="H203" s="1"/>
      <c r="I203" s="1"/>
      <c r="J203" s="6"/>
      <c r="K203" s="6"/>
      <c r="L203" s="6"/>
      <c r="M203" s="1"/>
      <c r="N203" s="1"/>
      <c r="O203" s="1"/>
      <c r="P203" s="1"/>
      <c r="Q203" s="1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ht="13.5" customHeight="1">
      <c r="A204" s="1"/>
      <c r="B204" s="1"/>
      <c r="C204" s="3"/>
      <c r="D204" s="1"/>
      <c r="E204" s="1"/>
      <c r="F204" s="1"/>
      <c r="G204" s="1"/>
      <c r="H204" s="1"/>
      <c r="I204" s="1"/>
      <c r="J204" s="6"/>
      <c r="K204" s="6"/>
      <c r="L204" s="6"/>
      <c r="M204" s="1"/>
      <c r="N204" s="1"/>
      <c r="O204" s="1"/>
      <c r="P204" s="1"/>
      <c r="Q204" s="1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ht="13.5" customHeight="1">
      <c r="A205" s="1"/>
      <c r="B205" s="1"/>
      <c r="C205" s="3"/>
      <c r="D205" s="1"/>
      <c r="E205" s="1"/>
      <c r="F205" s="1"/>
      <c r="G205" s="1"/>
      <c r="H205" s="1"/>
      <c r="I205" s="1"/>
      <c r="J205" s="6"/>
      <c r="K205" s="6"/>
      <c r="L205" s="6"/>
      <c r="M205" s="1"/>
      <c r="N205" s="1"/>
      <c r="O205" s="1"/>
      <c r="P205" s="1"/>
      <c r="Q205" s="1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ht="13.5" customHeight="1">
      <c r="A206" s="1"/>
      <c r="B206" s="1"/>
      <c r="C206" s="3"/>
      <c r="D206" s="1"/>
      <c r="E206" s="1"/>
      <c r="F206" s="1"/>
      <c r="G206" s="1"/>
      <c r="H206" s="1"/>
      <c r="I206" s="1"/>
      <c r="J206" s="6"/>
      <c r="K206" s="6"/>
      <c r="L206" s="6"/>
      <c r="M206" s="1"/>
      <c r="N206" s="1"/>
      <c r="O206" s="1"/>
      <c r="P206" s="1"/>
      <c r="Q206" s="1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ht="13.5" customHeight="1">
      <c r="A207" s="1"/>
      <c r="B207" s="1"/>
      <c r="C207" s="3"/>
      <c r="D207" s="1"/>
      <c r="E207" s="1"/>
      <c r="F207" s="1"/>
      <c r="G207" s="1"/>
      <c r="H207" s="1"/>
      <c r="I207" s="1"/>
      <c r="J207" s="6"/>
      <c r="K207" s="6"/>
      <c r="L207" s="6"/>
      <c r="M207" s="1"/>
      <c r="N207" s="1"/>
      <c r="O207" s="1"/>
      <c r="P207" s="1"/>
      <c r="Q207" s="1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ht="13.5" customHeight="1">
      <c r="A208" s="1"/>
      <c r="B208" s="1"/>
      <c r="C208" s="3"/>
      <c r="D208" s="1"/>
      <c r="E208" s="1"/>
      <c r="F208" s="1"/>
      <c r="G208" s="1"/>
      <c r="H208" s="1"/>
      <c r="I208" s="1"/>
      <c r="J208" s="6"/>
      <c r="K208" s="6"/>
      <c r="L208" s="6"/>
      <c r="M208" s="1"/>
      <c r="N208" s="1"/>
      <c r="O208" s="1"/>
      <c r="P208" s="1"/>
      <c r="Q208" s="1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:42" ht="13.5" customHeight="1">
      <c r="A209" s="1"/>
      <c r="B209" s="1"/>
      <c r="C209" s="3"/>
      <c r="D209" s="1"/>
      <c r="E209" s="1"/>
      <c r="F209" s="1"/>
      <c r="G209" s="1"/>
      <c r="H209" s="1"/>
      <c r="I209" s="1"/>
      <c r="J209" s="6"/>
      <c r="K209" s="6"/>
      <c r="L209" s="6"/>
      <c r="M209" s="1"/>
      <c r="N209" s="1"/>
      <c r="O209" s="1"/>
      <c r="P209" s="1"/>
      <c r="Q209" s="1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:42" ht="13.5" customHeight="1">
      <c r="A210" s="1"/>
      <c r="B210" s="1"/>
      <c r="C210" s="3"/>
      <c r="D210" s="1"/>
      <c r="E210" s="1"/>
      <c r="F210" s="1"/>
      <c r="G210" s="1"/>
      <c r="H210" s="1"/>
      <c r="I210" s="1"/>
      <c r="J210" s="6"/>
      <c r="K210" s="6"/>
      <c r="L210" s="6"/>
      <c r="M210" s="1"/>
      <c r="N210" s="1"/>
      <c r="O210" s="1"/>
      <c r="P210" s="1"/>
      <c r="Q210" s="1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:42" ht="13.5" customHeight="1">
      <c r="A211" s="1"/>
      <c r="B211" s="1"/>
      <c r="C211" s="3"/>
      <c r="D211" s="1"/>
      <c r="E211" s="1"/>
      <c r="F211" s="1"/>
      <c r="G211" s="1"/>
      <c r="H211" s="1"/>
      <c r="I211" s="1"/>
      <c r="J211" s="6"/>
      <c r="K211" s="6"/>
      <c r="L211" s="6"/>
      <c r="M211" s="1"/>
      <c r="N211" s="1"/>
      <c r="O211" s="1"/>
      <c r="P211" s="1"/>
      <c r="Q211" s="1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spans="1:42" ht="13.5" customHeight="1">
      <c r="A212" s="1"/>
      <c r="B212" s="1"/>
      <c r="C212" s="3"/>
      <c r="D212" s="1"/>
      <c r="E212" s="1"/>
      <c r="F212" s="1"/>
      <c r="G212" s="1"/>
      <c r="H212" s="1"/>
      <c r="I212" s="1"/>
      <c r="J212" s="6"/>
      <c r="K212" s="6"/>
      <c r="L212" s="6"/>
      <c r="M212" s="1"/>
      <c r="N212" s="1"/>
      <c r="O212" s="1"/>
      <c r="P212" s="1"/>
      <c r="Q212" s="1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spans="1:42" ht="13.5" customHeight="1">
      <c r="A213" s="1"/>
      <c r="B213" s="1"/>
      <c r="C213" s="3"/>
      <c r="D213" s="1"/>
      <c r="E213" s="1"/>
      <c r="F213" s="1"/>
      <c r="G213" s="1"/>
      <c r="H213" s="1"/>
      <c r="I213" s="1"/>
      <c r="J213" s="6"/>
      <c r="K213" s="6"/>
      <c r="L213" s="6"/>
      <c r="M213" s="1"/>
      <c r="N213" s="1"/>
      <c r="O213" s="1"/>
      <c r="P213" s="1"/>
      <c r="Q213" s="1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spans="1:42" ht="13.5" customHeight="1">
      <c r="A214" s="1"/>
      <c r="B214" s="1"/>
      <c r="C214" s="3"/>
      <c r="D214" s="1"/>
      <c r="E214" s="1"/>
      <c r="F214" s="1"/>
      <c r="G214" s="1"/>
      <c r="H214" s="1"/>
      <c r="I214" s="1"/>
      <c r="J214" s="6"/>
      <c r="K214" s="6"/>
      <c r="L214" s="6"/>
      <c r="M214" s="1"/>
      <c r="N214" s="1"/>
      <c r="O214" s="1"/>
      <c r="P214" s="1"/>
      <c r="Q214" s="1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spans="1:42" ht="13.5" customHeight="1">
      <c r="A215" s="1"/>
      <c r="B215" s="1"/>
      <c r="C215" s="3"/>
      <c r="D215" s="1"/>
      <c r="E215" s="1"/>
      <c r="F215" s="1"/>
      <c r="G215" s="1"/>
      <c r="H215" s="1"/>
      <c r="I215" s="1"/>
      <c r="J215" s="6"/>
      <c r="K215" s="6"/>
      <c r="L215" s="6"/>
      <c r="M215" s="1"/>
      <c r="N215" s="1"/>
      <c r="O215" s="1"/>
      <c r="P215" s="1"/>
      <c r="Q215" s="1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</row>
    <row r="216" spans="1:42" ht="13.5" customHeight="1">
      <c r="A216" s="1"/>
      <c r="B216" s="1"/>
      <c r="C216" s="3"/>
      <c r="D216" s="1"/>
      <c r="E216" s="1"/>
      <c r="F216" s="1"/>
      <c r="G216" s="1"/>
      <c r="H216" s="1"/>
      <c r="I216" s="1"/>
      <c r="J216" s="6"/>
      <c r="K216" s="6"/>
      <c r="L216" s="6"/>
      <c r="M216" s="1"/>
      <c r="N216" s="1"/>
      <c r="O216" s="1"/>
      <c r="P216" s="1"/>
      <c r="Q216" s="1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</row>
    <row r="217" spans="1:42" ht="13.5" customHeight="1">
      <c r="A217" s="1"/>
      <c r="B217" s="1"/>
      <c r="C217" s="3"/>
      <c r="D217" s="1"/>
      <c r="E217" s="1"/>
      <c r="F217" s="1"/>
      <c r="G217" s="1"/>
      <c r="H217" s="1"/>
      <c r="I217" s="1"/>
      <c r="J217" s="6"/>
      <c r="K217" s="6"/>
      <c r="L217" s="6"/>
      <c r="M217" s="1"/>
      <c r="N217" s="1"/>
      <c r="O217" s="1"/>
      <c r="P217" s="1"/>
      <c r="Q217" s="1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</row>
    <row r="218" spans="1:42" ht="13.5" customHeight="1">
      <c r="A218" s="1"/>
      <c r="B218" s="1"/>
      <c r="C218" s="3"/>
      <c r="D218" s="1"/>
      <c r="E218" s="1"/>
      <c r="F218" s="1"/>
      <c r="G218" s="1"/>
      <c r="H218" s="1"/>
      <c r="I218" s="1"/>
      <c r="J218" s="6"/>
      <c r="K218" s="6"/>
      <c r="L218" s="6"/>
      <c r="M218" s="1"/>
      <c r="N218" s="1"/>
      <c r="O218" s="1"/>
      <c r="P218" s="1"/>
      <c r="Q218" s="1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</row>
    <row r="219" spans="1:42" ht="13.5" customHeight="1">
      <c r="A219" s="1"/>
      <c r="B219" s="1"/>
      <c r="C219" s="3"/>
      <c r="D219" s="1"/>
      <c r="E219" s="1"/>
      <c r="F219" s="1"/>
      <c r="G219" s="1"/>
      <c r="H219" s="1"/>
      <c r="I219" s="1"/>
      <c r="J219" s="6"/>
      <c r="K219" s="6"/>
      <c r="L219" s="6"/>
      <c r="M219" s="1"/>
      <c r="N219" s="1"/>
      <c r="O219" s="1"/>
      <c r="P219" s="1"/>
      <c r="Q219" s="1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</row>
    <row r="220" spans="1:42" ht="13.5" customHeight="1">
      <c r="A220" s="1"/>
      <c r="B220" s="1"/>
      <c r="C220" s="3"/>
      <c r="D220" s="1"/>
      <c r="E220" s="1"/>
      <c r="F220" s="1"/>
      <c r="G220" s="1"/>
      <c r="H220" s="1"/>
      <c r="I220" s="1"/>
      <c r="J220" s="6"/>
      <c r="K220" s="6"/>
      <c r="L220" s="6"/>
      <c r="M220" s="1"/>
      <c r="N220" s="1"/>
      <c r="O220" s="1"/>
      <c r="P220" s="1"/>
      <c r="Q220" s="1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</row>
    <row r="221" spans="1:42" ht="13.5" customHeight="1">
      <c r="A221" s="1"/>
      <c r="B221" s="1"/>
      <c r="C221" s="3"/>
      <c r="D221" s="1"/>
      <c r="E221" s="1"/>
      <c r="F221" s="1"/>
      <c r="G221" s="1"/>
      <c r="H221" s="1"/>
      <c r="I221" s="1"/>
      <c r="J221" s="6"/>
      <c r="K221" s="6"/>
      <c r="L221" s="6"/>
      <c r="M221" s="1"/>
      <c r="N221" s="1"/>
      <c r="O221" s="1"/>
      <c r="P221" s="1"/>
      <c r="Q221" s="1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</row>
    <row r="222" spans="1:42" ht="13.5" customHeight="1">
      <c r="A222" s="1"/>
      <c r="B222" s="1"/>
      <c r="C222" s="3"/>
      <c r="D222" s="1"/>
      <c r="E222" s="1"/>
      <c r="F222" s="1"/>
      <c r="G222" s="1"/>
      <c r="H222" s="1"/>
      <c r="I222" s="1"/>
      <c r="J222" s="6"/>
      <c r="K222" s="6"/>
      <c r="L222" s="6"/>
      <c r="M222" s="1"/>
      <c r="N222" s="1"/>
      <c r="O222" s="1"/>
      <c r="P222" s="1"/>
      <c r="Q222" s="1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</row>
    <row r="223" spans="1:42" ht="13.5" customHeight="1">
      <c r="A223" s="1"/>
      <c r="B223" s="1"/>
      <c r="C223" s="3"/>
      <c r="D223" s="1"/>
      <c r="E223" s="1"/>
      <c r="F223" s="1"/>
      <c r="G223" s="1"/>
      <c r="H223" s="1"/>
      <c r="I223" s="1"/>
      <c r="J223" s="6"/>
      <c r="K223" s="6"/>
      <c r="L223" s="6"/>
      <c r="M223" s="1"/>
      <c r="N223" s="1"/>
      <c r="O223" s="1"/>
      <c r="P223" s="1"/>
      <c r="Q223" s="1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</row>
    <row r="224" spans="1:42" ht="13.5" customHeight="1">
      <c r="A224" s="1"/>
      <c r="B224" s="1"/>
      <c r="C224" s="3"/>
      <c r="D224" s="1"/>
      <c r="E224" s="1"/>
      <c r="F224" s="1"/>
      <c r="G224" s="1"/>
      <c r="H224" s="1"/>
      <c r="I224" s="1"/>
      <c r="J224" s="6"/>
      <c r="K224" s="6"/>
      <c r="L224" s="6"/>
      <c r="M224" s="1"/>
      <c r="N224" s="1"/>
      <c r="O224" s="1"/>
      <c r="P224" s="1"/>
      <c r="Q224" s="1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</row>
    <row r="225" spans="1:42" ht="13.5" customHeight="1">
      <c r="A225" s="1"/>
      <c r="B225" s="1"/>
      <c r="C225" s="3"/>
      <c r="D225" s="1"/>
      <c r="E225" s="1"/>
      <c r="F225" s="1"/>
      <c r="G225" s="1"/>
      <c r="H225" s="1"/>
      <c r="I225" s="1"/>
      <c r="J225" s="6"/>
      <c r="K225" s="6"/>
      <c r="L225" s="6"/>
      <c r="M225" s="1"/>
      <c r="N225" s="1"/>
      <c r="O225" s="1"/>
      <c r="P225" s="1"/>
      <c r="Q225" s="1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</row>
    <row r="226" spans="1:42" ht="13.5" customHeight="1">
      <c r="A226" s="1"/>
      <c r="B226" s="1"/>
      <c r="C226" s="3"/>
      <c r="D226" s="1"/>
      <c r="E226" s="1"/>
      <c r="F226" s="1"/>
      <c r="G226" s="1"/>
      <c r="H226" s="1"/>
      <c r="I226" s="1"/>
      <c r="J226" s="6"/>
      <c r="K226" s="6"/>
      <c r="L226" s="6"/>
      <c r="M226" s="1"/>
      <c r="N226" s="1"/>
      <c r="O226" s="1"/>
      <c r="P226" s="1"/>
      <c r="Q226" s="1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</row>
    <row r="227" spans="1:42" ht="13.5" customHeight="1">
      <c r="A227" s="1"/>
      <c r="B227" s="1"/>
      <c r="C227" s="3"/>
      <c r="D227" s="1"/>
      <c r="E227" s="1"/>
      <c r="F227" s="1"/>
      <c r="G227" s="1"/>
      <c r="H227" s="1"/>
      <c r="I227" s="1"/>
      <c r="J227" s="6"/>
      <c r="K227" s="6"/>
      <c r="L227" s="6"/>
      <c r="M227" s="1"/>
      <c r="N227" s="1"/>
      <c r="O227" s="1"/>
      <c r="P227" s="1"/>
      <c r="Q227" s="1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</row>
    <row r="228" spans="1:42" ht="13.5" customHeight="1">
      <c r="A228" s="1"/>
      <c r="B228" s="1"/>
      <c r="C228" s="3"/>
      <c r="D228" s="1"/>
      <c r="E228" s="1"/>
      <c r="F228" s="1"/>
      <c r="G228" s="1"/>
      <c r="H228" s="1"/>
      <c r="I228" s="1"/>
      <c r="J228" s="6"/>
      <c r="K228" s="6"/>
      <c r="L228" s="6"/>
      <c r="M228" s="1"/>
      <c r="N228" s="1"/>
      <c r="O228" s="1"/>
      <c r="P228" s="1"/>
      <c r="Q228" s="1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</row>
    <row r="229" spans="1:42" ht="13.5" customHeight="1">
      <c r="A229" s="1"/>
      <c r="B229" s="1"/>
      <c r="C229" s="3"/>
      <c r="D229" s="1"/>
      <c r="E229" s="1"/>
      <c r="F229" s="1"/>
      <c r="G229" s="1"/>
      <c r="H229" s="1"/>
      <c r="I229" s="1"/>
      <c r="J229" s="6"/>
      <c r="K229" s="6"/>
      <c r="L229" s="6"/>
      <c r="M229" s="1"/>
      <c r="N229" s="1"/>
      <c r="O229" s="1"/>
      <c r="P229" s="1"/>
      <c r="Q229" s="1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</row>
    <row r="230" spans="1:42" ht="13.5" customHeight="1">
      <c r="A230" s="1"/>
      <c r="B230" s="1"/>
      <c r="C230" s="3"/>
      <c r="D230" s="1"/>
      <c r="E230" s="1"/>
      <c r="F230" s="1"/>
      <c r="G230" s="1"/>
      <c r="H230" s="1"/>
      <c r="I230" s="1"/>
      <c r="J230" s="6"/>
      <c r="K230" s="6"/>
      <c r="L230" s="6"/>
      <c r="M230" s="1"/>
      <c r="N230" s="1"/>
      <c r="O230" s="1"/>
      <c r="P230" s="1"/>
      <c r="Q230" s="1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</row>
    <row r="231" spans="1:42" ht="13.5" customHeight="1">
      <c r="A231" s="1"/>
      <c r="B231" s="1"/>
      <c r="C231" s="3"/>
      <c r="D231" s="1"/>
      <c r="E231" s="1"/>
      <c r="F231" s="1"/>
      <c r="G231" s="1"/>
      <c r="H231" s="1"/>
      <c r="I231" s="1"/>
      <c r="J231" s="6"/>
      <c r="K231" s="6"/>
      <c r="L231" s="6"/>
      <c r="M231" s="1"/>
      <c r="N231" s="1"/>
      <c r="O231" s="1"/>
      <c r="P231" s="1"/>
      <c r="Q231" s="1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</row>
    <row r="232" spans="1:42" ht="13.5" customHeight="1">
      <c r="A232" s="1"/>
      <c r="B232" s="1"/>
      <c r="C232" s="3"/>
      <c r="D232" s="1"/>
      <c r="E232" s="1"/>
      <c r="F232" s="1"/>
      <c r="G232" s="1"/>
      <c r="H232" s="1"/>
      <c r="I232" s="1"/>
      <c r="J232" s="6"/>
      <c r="K232" s="6"/>
      <c r="L232" s="6"/>
      <c r="M232" s="1"/>
      <c r="N232" s="1"/>
      <c r="O232" s="1"/>
      <c r="P232" s="1"/>
      <c r="Q232" s="1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</row>
    <row r="233" spans="1:42" ht="13.5" customHeight="1">
      <c r="A233" s="1"/>
      <c r="B233" s="1"/>
      <c r="C233" s="3"/>
      <c r="D233" s="1"/>
      <c r="E233" s="1"/>
      <c r="F233" s="1"/>
      <c r="G233" s="1"/>
      <c r="H233" s="1"/>
      <c r="I233" s="1"/>
      <c r="J233" s="6"/>
      <c r="K233" s="6"/>
      <c r="L233" s="6"/>
      <c r="M233" s="1"/>
      <c r="N233" s="1"/>
      <c r="O233" s="1"/>
      <c r="P233" s="1"/>
      <c r="Q233" s="1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</row>
    <row r="234" spans="1:42" ht="13.5" customHeight="1">
      <c r="A234" s="1"/>
      <c r="B234" s="1"/>
      <c r="C234" s="3"/>
      <c r="D234" s="1"/>
      <c r="E234" s="1"/>
      <c r="F234" s="1"/>
      <c r="G234" s="1"/>
      <c r="H234" s="1"/>
      <c r="I234" s="1"/>
      <c r="J234" s="6"/>
      <c r="K234" s="6"/>
      <c r="L234" s="6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</row>
    <row r="235" spans="1:42" ht="13.5" customHeight="1">
      <c r="A235" s="1"/>
      <c r="B235" s="1"/>
      <c r="C235" s="3"/>
      <c r="D235" s="1"/>
      <c r="E235" s="1"/>
      <c r="F235" s="1"/>
      <c r="G235" s="1"/>
      <c r="H235" s="1"/>
      <c r="I235" s="1"/>
      <c r="J235" s="6"/>
      <c r="K235" s="6"/>
      <c r="L235" s="6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</row>
    <row r="236" spans="1:42" ht="13.5" customHeight="1">
      <c r="A236" s="1"/>
      <c r="B236" s="1"/>
      <c r="C236" s="3"/>
      <c r="D236" s="1"/>
      <c r="E236" s="1"/>
      <c r="F236" s="1"/>
      <c r="G236" s="1"/>
      <c r="H236" s="1"/>
      <c r="I236" s="1"/>
      <c r="J236" s="6"/>
      <c r="K236" s="6"/>
      <c r="L236" s="6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</row>
    <row r="237" spans="1:42" ht="13.5" customHeight="1">
      <c r="A237" s="1"/>
      <c r="B237" s="1"/>
      <c r="C237" s="3"/>
      <c r="D237" s="1"/>
      <c r="E237" s="1"/>
      <c r="F237" s="1"/>
      <c r="G237" s="1"/>
      <c r="H237" s="1"/>
      <c r="I237" s="1"/>
      <c r="J237" s="6"/>
      <c r="K237" s="6"/>
      <c r="L237" s="6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</row>
    <row r="238" spans="1:42" ht="13.5" customHeight="1">
      <c r="A238" s="1"/>
      <c r="B238" s="1"/>
      <c r="C238" s="3"/>
      <c r="D238" s="1"/>
      <c r="E238" s="1"/>
      <c r="F238" s="1"/>
      <c r="G238" s="1"/>
      <c r="H238" s="1"/>
      <c r="I238" s="1"/>
      <c r="J238" s="6"/>
      <c r="K238" s="6"/>
      <c r="L238" s="6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</row>
    <row r="239" spans="1:42" ht="13.5" customHeight="1">
      <c r="A239" s="1"/>
      <c r="B239" s="1"/>
      <c r="C239" s="3"/>
      <c r="D239" s="1"/>
      <c r="E239" s="1"/>
      <c r="F239" s="1"/>
      <c r="G239" s="1"/>
      <c r="H239" s="1"/>
      <c r="I239" s="1"/>
      <c r="J239" s="6"/>
      <c r="K239" s="6"/>
      <c r="L239" s="6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</row>
    <row r="240" spans="1:42" ht="13.5" customHeight="1">
      <c r="A240" s="1"/>
      <c r="B240" s="1"/>
      <c r="C240" s="3"/>
      <c r="D240" s="1"/>
      <c r="E240" s="1"/>
      <c r="F240" s="1"/>
      <c r="G240" s="1"/>
      <c r="H240" s="1"/>
      <c r="I240" s="1"/>
      <c r="J240" s="6"/>
      <c r="K240" s="6"/>
      <c r="L240" s="6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</row>
    <row r="241" spans="1:42" ht="13.5" customHeight="1">
      <c r="A241" s="1"/>
      <c r="B241" s="1"/>
      <c r="C241" s="3"/>
      <c r="D241" s="1"/>
      <c r="E241" s="1"/>
      <c r="F241" s="1"/>
      <c r="G241" s="1"/>
      <c r="H241" s="1"/>
      <c r="I241" s="1"/>
      <c r="J241" s="6"/>
      <c r="K241" s="6"/>
      <c r="L241" s="6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</row>
    <row r="242" spans="1:42" ht="13.5" customHeight="1">
      <c r="A242" s="1"/>
      <c r="B242" s="1"/>
      <c r="C242" s="3"/>
      <c r="D242" s="1"/>
      <c r="E242" s="1"/>
      <c r="F242" s="1"/>
      <c r="G242" s="1"/>
      <c r="H242" s="1"/>
      <c r="I242" s="1"/>
      <c r="J242" s="6"/>
      <c r="K242" s="6"/>
      <c r="L242" s="6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</row>
    <row r="243" spans="1:42" ht="13.5" customHeight="1">
      <c r="A243" s="1"/>
      <c r="B243" s="1"/>
      <c r="C243" s="3"/>
      <c r="D243" s="1"/>
      <c r="E243" s="1"/>
      <c r="F243" s="1"/>
      <c r="G243" s="1"/>
      <c r="H243" s="1"/>
      <c r="I243" s="1"/>
      <c r="J243" s="6"/>
      <c r="K243" s="6"/>
      <c r="L243" s="6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</row>
    <row r="244" spans="1:42" ht="13.5" customHeight="1">
      <c r="A244" s="1"/>
      <c r="B244" s="1"/>
      <c r="C244" s="3"/>
      <c r="D244" s="1"/>
      <c r="E244" s="1"/>
      <c r="F244" s="1"/>
      <c r="G244" s="1"/>
      <c r="H244" s="1"/>
      <c r="I244" s="1"/>
      <c r="J244" s="6"/>
      <c r="K244" s="6"/>
      <c r="L244" s="6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</row>
    <row r="245" spans="1:42" ht="13.5" customHeight="1">
      <c r="A245" s="1"/>
      <c r="B245" s="1"/>
      <c r="C245" s="3"/>
      <c r="D245" s="1"/>
      <c r="E245" s="1"/>
      <c r="F245" s="1"/>
      <c r="G245" s="1"/>
      <c r="H245" s="1"/>
      <c r="I245" s="1"/>
      <c r="J245" s="6"/>
      <c r="K245" s="6"/>
      <c r="L245" s="6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</row>
    <row r="246" spans="1:42" ht="13.5" customHeight="1">
      <c r="A246" s="1"/>
      <c r="B246" s="1"/>
      <c r="C246" s="3"/>
      <c r="D246" s="1"/>
      <c r="E246" s="1"/>
      <c r="F246" s="1"/>
      <c r="G246" s="1"/>
      <c r="H246" s="1"/>
      <c r="I246" s="1"/>
      <c r="J246" s="6"/>
      <c r="K246" s="6"/>
      <c r="L246" s="6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</row>
    <row r="247" spans="1:42" ht="13.5" customHeight="1">
      <c r="A247" s="1"/>
      <c r="B247" s="1"/>
      <c r="C247" s="3"/>
      <c r="D247" s="1"/>
      <c r="E247" s="1"/>
      <c r="F247" s="1"/>
      <c r="G247" s="1"/>
      <c r="H247" s="1"/>
      <c r="I247" s="1"/>
      <c r="J247" s="6"/>
      <c r="K247" s="6"/>
      <c r="L247" s="6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</row>
    <row r="248" spans="1:42" ht="13.5" customHeight="1">
      <c r="A248" s="1"/>
      <c r="B248" s="1"/>
      <c r="C248" s="3"/>
      <c r="D248" s="1"/>
      <c r="E248" s="1"/>
      <c r="F248" s="1"/>
      <c r="G248" s="1"/>
      <c r="H248" s="1"/>
      <c r="I248" s="1"/>
      <c r="J248" s="6"/>
      <c r="K248" s="6"/>
      <c r="L248" s="6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</row>
    <row r="249" spans="1:42" ht="13.5" customHeight="1">
      <c r="A249" s="1"/>
      <c r="B249" s="1"/>
      <c r="C249" s="3"/>
      <c r="D249" s="1"/>
      <c r="E249" s="1"/>
      <c r="F249" s="1"/>
      <c r="G249" s="1"/>
      <c r="H249" s="1"/>
      <c r="I249" s="1"/>
      <c r="J249" s="6"/>
      <c r="K249" s="6"/>
      <c r="L249" s="6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</row>
    <row r="250" spans="1:42" ht="13.5" customHeight="1">
      <c r="A250" s="1"/>
      <c r="B250" s="1"/>
      <c r="C250" s="3"/>
      <c r="D250" s="1"/>
      <c r="E250" s="1"/>
      <c r="F250" s="1"/>
      <c r="G250" s="1"/>
      <c r="H250" s="1"/>
      <c r="I250" s="1"/>
      <c r="J250" s="6"/>
      <c r="K250" s="6"/>
      <c r="L250" s="6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</row>
    <row r="251" spans="1:42" ht="13.5" customHeight="1">
      <c r="A251" s="1"/>
      <c r="B251" s="1"/>
      <c r="C251" s="3"/>
      <c r="D251" s="1"/>
      <c r="E251" s="1"/>
      <c r="F251" s="1"/>
      <c r="G251" s="1"/>
      <c r="H251" s="1"/>
      <c r="I251" s="1"/>
      <c r="J251" s="6"/>
      <c r="K251" s="6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</row>
    <row r="252" spans="1:42" ht="13.5" customHeight="1">
      <c r="A252" s="1"/>
      <c r="B252" s="1"/>
      <c r="C252" s="3"/>
      <c r="D252" s="1"/>
      <c r="E252" s="1"/>
      <c r="F252" s="1"/>
      <c r="G252" s="1"/>
      <c r="H252" s="1"/>
      <c r="I252" s="1"/>
      <c r="J252" s="6"/>
      <c r="K252" s="6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</row>
    <row r="253" spans="1:42" ht="13.5" customHeight="1">
      <c r="A253" s="1"/>
      <c r="B253" s="1"/>
      <c r="C253" s="3"/>
      <c r="D253" s="1"/>
      <c r="E253" s="1"/>
      <c r="F253" s="1"/>
      <c r="G253" s="1"/>
      <c r="H253" s="1"/>
      <c r="I253" s="1"/>
      <c r="J253" s="6"/>
      <c r="K253" s="6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</row>
    <row r="254" spans="1:42" ht="13.5" customHeight="1">
      <c r="A254" s="1"/>
      <c r="B254" s="1"/>
      <c r="C254" s="3"/>
      <c r="D254" s="1"/>
      <c r="E254" s="1"/>
      <c r="F254" s="1"/>
      <c r="G254" s="1"/>
      <c r="H254" s="1"/>
      <c r="I254" s="1"/>
      <c r="J254" s="6"/>
      <c r="K254" s="6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</row>
    <row r="255" spans="1:42" ht="13.5" customHeight="1">
      <c r="A255" s="1"/>
      <c r="B255" s="1"/>
      <c r="C255" s="3"/>
      <c r="D255" s="1"/>
      <c r="E255" s="1"/>
      <c r="F255" s="1"/>
      <c r="G255" s="1"/>
      <c r="H255" s="1"/>
      <c r="I255" s="1"/>
      <c r="J255" s="6"/>
      <c r="K255" s="6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</row>
    <row r="256" spans="1:42" ht="13.5" customHeight="1">
      <c r="A256" s="1"/>
      <c r="B256" s="1"/>
      <c r="C256" s="3"/>
      <c r="D256" s="1"/>
      <c r="E256" s="1"/>
      <c r="F256" s="1"/>
      <c r="G256" s="1"/>
      <c r="H256" s="1"/>
      <c r="I256" s="1"/>
      <c r="J256" s="6"/>
      <c r="K256" s="6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</row>
    <row r="257" spans="1:42" ht="13.5" customHeight="1">
      <c r="A257" s="1"/>
      <c r="B257" s="1"/>
      <c r="C257" s="3"/>
      <c r="D257" s="1"/>
      <c r="E257" s="1"/>
      <c r="F257" s="1"/>
      <c r="G257" s="1"/>
      <c r="H257" s="1"/>
      <c r="I257" s="1"/>
      <c r="J257" s="6"/>
      <c r="K257" s="6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</row>
    <row r="258" spans="1:42" ht="13.5" customHeight="1">
      <c r="A258" s="1"/>
      <c r="B258" s="1"/>
      <c r="C258" s="3"/>
      <c r="D258" s="1"/>
      <c r="E258" s="1"/>
      <c r="F258" s="1"/>
      <c r="G258" s="1"/>
      <c r="H258" s="1"/>
      <c r="I258" s="1"/>
      <c r="J258" s="6"/>
      <c r="K258" s="6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</row>
    <row r="259" spans="1:42" ht="13.5" customHeight="1">
      <c r="A259" s="1"/>
      <c r="B259" s="1"/>
      <c r="C259" s="3"/>
      <c r="D259" s="1"/>
      <c r="E259" s="1"/>
      <c r="F259" s="1"/>
      <c r="G259" s="1"/>
      <c r="H259" s="1"/>
      <c r="I259" s="1"/>
      <c r="J259" s="6"/>
      <c r="K259" s="6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</row>
    <row r="260" spans="1:42" ht="13.5" customHeight="1">
      <c r="A260" s="1"/>
      <c r="B260" s="1"/>
      <c r="C260" s="3"/>
      <c r="D260" s="1"/>
      <c r="E260" s="1"/>
      <c r="F260" s="1"/>
      <c r="G260" s="1"/>
      <c r="H260" s="1"/>
      <c r="I260" s="1"/>
      <c r="J260" s="6"/>
      <c r="K260" s="6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</row>
    <row r="261" spans="1:42" ht="13.5" customHeight="1">
      <c r="A261" s="1"/>
      <c r="B261" s="1"/>
      <c r="C261" s="3"/>
      <c r="D261" s="1"/>
      <c r="E261" s="1"/>
      <c r="F261" s="1"/>
      <c r="G261" s="1"/>
      <c r="H261" s="1"/>
      <c r="I261" s="1"/>
      <c r="J261" s="6"/>
      <c r="K261" s="6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</row>
    <row r="262" spans="1:42" ht="13.5" customHeight="1">
      <c r="A262" s="1"/>
      <c r="B262" s="1"/>
      <c r="C262" s="3"/>
      <c r="D262" s="1"/>
      <c r="E262" s="1"/>
      <c r="F262" s="1"/>
      <c r="G262" s="1"/>
      <c r="H262" s="1"/>
      <c r="I262" s="1"/>
      <c r="J262" s="6"/>
      <c r="K262" s="6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</row>
    <row r="263" spans="1:42" ht="13.5" customHeight="1">
      <c r="A263" s="1"/>
      <c r="B263" s="1"/>
      <c r="C263" s="3"/>
      <c r="D263" s="1"/>
      <c r="E263" s="1"/>
      <c r="F263" s="1"/>
      <c r="G263" s="1"/>
      <c r="H263" s="1"/>
      <c r="I263" s="1"/>
      <c r="J263" s="6"/>
      <c r="K263" s="6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</row>
    <row r="264" spans="1:42" ht="13.5" customHeight="1">
      <c r="A264" s="1"/>
      <c r="B264" s="1"/>
      <c r="C264" s="3"/>
      <c r="D264" s="1"/>
      <c r="E264" s="1"/>
      <c r="F264" s="1"/>
      <c r="G264" s="1"/>
      <c r="H264" s="1"/>
      <c r="I264" s="1"/>
      <c r="J264" s="6"/>
      <c r="K264" s="6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</row>
    <row r="265" spans="1:42" ht="13.5" customHeight="1">
      <c r="A265" s="1"/>
      <c r="B265" s="1"/>
      <c r="C265" s="3"/>
      <c r="D265" s="1"/>
      <c r="E265" s="1"/>
      <c r="F265" s="1"/>
      <c r="G265" s="1"/>
      <c r="H265" s="1"/>
      <c r="I265" s="1"/>
      <c r="J265" s="6"/>
      <c r="K265" s="6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</row>
    <row r="266" spans="1:42" ht="13.5" customHeight="1">
      <c r="A266" s="1"/>
      <c r="B266" s="1"/>
      <c r="C266" s="3"/>
      <c r="D266" s="1"/>
      <c r="E266" s="1"/>
      <c r="F266" s="1"/>
      <c r="G266" s="1"/>
      <c r="H266" s="1"/>
      <c r="I266" s="1"/>
      <c r="J266" s="6"/>
      <c r="K266" s="6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</row>
    <row r="267" spans="1:42" ht="13.5" customHeight="1">
      <c r="A267" s="1"/>
      <c r="B267" s="1"/>
      <c r="C267" s="3"/>
      <c r="D267" s="1"/>
      <c r="E267" s="1"/>
      <c r="F267" s="1"/>
      <c r="G267" s="1"/>
      <c r="H267" s="1"/>
      <c r="I267" s="1"/>
      <c r="J267" s="6"/>
      <c r="K267" s="6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</row>
    <row r="268" spans="1:42" ht="13.5" customHeight="1">
      <c r="A268" s="1"/>
      <c r="B268" s="1"/>
      <c r="C268" s="3"/>
      <c r="D268" s="1"/>
      <c r="E268" s="1"/>
      <c r="F268" s="1"/>
      <c r="G268" s="1"/>
      <c r="H268" s="1"/>
      <c r="I268" s="1"/>
      <c r="J268" s="6"/>
      <c r="K268" s="6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</row>
    <row r="269" spans="1:42" ht="13.5" customHeight="1">
      <c r="A269" s="1"/>
      <c r="B269" s="1"/>
      <c r="C269" s="3"/>
      <c r="D269" s="1"/>
      <c r="E269" s="1"/>
      <c r="F269" s="1"/>
      <c r="G269" s="1"/>
      <c r="H269" s="1"/>
      <c r="I269" s="1"/>
      <c r="J269" s="6"/>
      <c r="K269" s="6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</row>
    <row r="270" spans="1:42" ht="13.5" customHeight="1">
      <c r="A270" s="1"/>
      <c r="B270" s="1"/>
      <c r="C270" s="3"/>
      <c r="D270" s="1"/>
      <c r="E270" s="1"/>
      <c r="F270" s="1"/>
      <c r="G270" s="1"/>
      <c r="H270" s="1"/>
      <c r="I270" s="1"/>
      <c r="J270" s="6"/>
      <c r="K270" s="6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</row>
    <row r="271" spans="1:42" ht="13.5" customHeight="1">
      <c r="A271" s="1"/>
      <c r="B271" s="1"/>
      <c r="C271" s="3"/>
      <c r="D271" s="1"/>
      <c r="E271" s="1"/>
      <c r="F271" s="1"/>
      <c r="G271" s="1"/>
      <c r="H271" s="1"/>
      <c r="I271" s="1"/>
      <c r="J271" s="6"/>
      <c r="K271" s="6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</row>
    <row r="272" spans="1:42" ht="13.5" customHeight="1">
      <c r="A272" s="1"/>
      <c r="B272" s="1"/>
      <c r="C272" s="3"/>
      <c r="D272" s="1"/>
      <c r="E272" s="1"/>
      <c r="F272" s="1"/>
      <c r="G272" s="1"/>
      <c r="H272" s="1"/>
      <c r="I272" s="1"/>
      <c r="J272" s="6"/>
      <c r="K272" s="6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</row>
    <row r="273" spans="1:42" ht="13.5" customHeight="1">
      <c r="A273" s="1"/>
      <c r="B273" s="1"/>
      <c r="C273" s="3"/>
      <c r="D273" s="1"/>
      <c r="E273" s="1"/>
      <c r="F273" s="1"/>
      <c r="G273" s="1"/>
      <c r="H273" s="1"/>
      <c r="I273" s="1"/>
      <c r="J273" s="6"/>
      <c r="K273" s="6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</row>
    <row r="274" spans="1:42" ht="13.5" customHeight="1">
      <c r="A274" s="1"/>
      <c r="B274" s="1"/>
      <c r="C274" s="3"/>
      <c r="D274" s="1"/>
      <c r="E274" s="1"/>
      <c r="F274" s="1"/>
      <c r="G274" s="1"/>
      <c r="H274" s="1"/>
      <c r="I274" s="1"/>
      <c r="J274" s="6"/>
      <c r="K274" s="6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</row>
    <row r="275" spans="1:42" ht="13.5" customHeight="1">
      <c r="A275" s="1"/>
      <c r="B275" s="1"/>
      <c r="C275" s="3"/>
      <c r="D275" s="1"/>
      <c r="E275" s="1"/>
      <c r="F275" s="1"/>
      <c r="G275" s="1"/>
      <c r="H275" s="1"/>
      <c r="I275" s="1"/>
      <c r="J275" s="6"/>
      <c r="K275" s="6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</row>
    <row r="276" spans="1:42" ht="13.5" customHeight="1">
      <c r="A276" s="1"/>
      <c r="B276" s="1"/>
      <c r="C276" s="3"/>
      <c r="D276" s="1"/>
      <c r="E276" s="1"/>
      <c r="F276" s="1"/>
      <c r="G276" s="1"/>
      <c r="H276" s="1"/>
      <c r="I276" s="1"/>
      <c r="J276" s="6"/>
      <c r="K276" s="6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</row>
    <row r="277" spans="1:42" ht="13.5" customHeight="1">
      <c r="A277" s="1"/>
      <c r="B277" s="1"/>
      <c r="C277" s="3"/>
      <c r="D277" s="1"/>
      <c r="E277" s="1"/>
      <c r="F277" s="1"/>
      <c r="G277" s="1"/>
      <c r="H277" s="1"/>
      <c r="I277" s="1"/>
      <c r="J277" s="6"/>
      <c r="K277" s="6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</row>
    <row r="278" spans="1:42" ht="13.5" customHeight="1">
      <c r="A278" s="1"/>
      <c r="B278" s="1"/>
      <c r="C278" s="3"/>
      <c r="D278" s="1"/>
      <c r="E278" s="1"/>
      <c r="F278" s="1"/>
      <c r="G278" s="1"/>
      <c r="H278" s="1"/>
      <c r="I278" s="1"/>
      <c r="J278" s="6"/>
      <c r="K278" s="6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</row>
    <row r="279" spans="1:42" ht="13.5" customHeight="1">
      <c r="A279" s="1"/>
      <c r="B279" s="1"/>
      <c r="C279" s="3"/>
      <c r="D279" s="1"/>
      <c r="E279" s="1"/>
      <c r="F279" s="1"/>
      <c r="G279" s="1"/>
      <c r="H279" s="1"/>
      <c r="I279" s="1"/>
      <c r="J279" s="6"/>
      <c r="K279" s="6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</row>
    <row r="280" spans="1:42" ht="13.5" customHeight="1">
      <c r="A280" s="1"/>
      <c r="B280" s="1"/>
      <c r="C280" s="3"/>
      <c r="D280" s="1"/>
      <c r="E280" s="1"/>
      <c r="F280" s="1"/>
      <c r="G280" s="1"/>
      <c r="H280" s="1"/>
      <c r="I280" s="1"/>
      <c r="J280" s="6"/>
      <c r="K280" s="6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</row>
    <row r="281" spans="1:42" ht="13.5" customHeight="1">
      <c r="A281" s="1"/>
      <c r="B281" s="1"/>
      <c r="C281" s="3"/>
      <c r="D281" s="1"/>
      <c r="E281" s="1"/>
      <c r="F281" s="1"/>
      <c r="G281" s="1"/>
      <c r="H281" s="1"/>
      <c r="I281" s="1"/>
      <c r="J281" s="6"/>
      <c r="K281" s="6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</row>
    <row r="282" spans="1:42" ht="13.5" customHeight="1">
      <c r="A282" s="1"/>
      <c r="B282" s="1"/>
      <c r="C282" s="3"/>
      <c r="D282" s="1"/>
      <c r="E282" s="1"/>
      <c r="F282" s="1"/>
      <c r="G282" s="1"/>
      <c r="H282" s="1"/>
      <c r="I282" s="1"/>
      <c r="J282" s="6"/>
      <c r="K282" s="6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</row>
    <row r="283" spans="1:42" ht="13.5" customHeight="1">
      <c r="A283" s="1"/>
      <c r="B283" s="1"/>
      <c r="C283" s="3"/>
      <c r="D283" s="1"/>
      <c r="E283" s="1"/>
      <c r="F283" s="1"/>
      <c r="G283" s="1"/>
      <c r="H283" s="1"/>
      <c r="I283" s="1"/>
      <c r="J283" s="6"/>
      <c r="K283" s="6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</row>
    <row r="284" spans="1:42" ht="13.5" customHeight="1">
      <c r="A284" s="1"/>
      <c r="B284" s="1"/>
      <c r="C284" s="3"/>
      <c r="D284" s="1"/>
      <c r="E284" s="1"/>
      <c r="F284" s="1"/>
      <c r="G284" s="1"/>
      <c r="H284" s="1"/>
      <c r="I284" s="1"/>
      <c r="J284" s="6"/>
      <c r="K284" s="6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</row>
    <row r="285" spans="1:42" ht="13.5" customHeight="1">
      <c r="A285" s="1"/>
      <c r="B285" s="1"/>
      <c r="C285" s="3"/>
      <c r="D285" s="1"/>
      <c r="E285" s="1"/>
      <c r="F285" s="1"/>
      <c r="G285" s="1"/>
      <c r="H285" s="1"/>
      <c r="I285" s="1"/>
      <c r="J285" s="6"/>
      <c r="K285" s="6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</row>
    <row r="286" spans="1:42" ht="13.5" customHeight="1">
      <c r="A286" s="1"/>
      <c r="B286" s="1"/>
      <c r="C286" s="3"/>
      <c r="D286" s="1"/>
      <c r="E286" s="1"/>
      <c r="F286" s="1"/>
      <c r="G286" s="1"/>
      <c r="H286" s="1"/>
      <c r="I286" s="1"/>
      <c r="J286" s="6"/>
      <c r="K286" s="6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</row>
    <row r="287" spans="1:42" ht="13.5" customHeight="1">
      <c r="A287" s="1"/>
      <c r="B287" s="1"/>
      <c r="C287" s="3"/>
      <c r="D287" s="1"/>
      <c r="E287" s="1"/>
      <c r="F287" s="1"/>
      <c r="G287" s="1"/>
      <c r="H287" s="1"/>
      <c r="I287" s="1"/>
      <c r="J287" s="6"/>
      <c r="K287" s="6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</row>
    <row r="288" spans="1:42" ht="13.5" customHeight="1">
      <c r="A288" s="1"/>
      <c r="B288" s="1"/>
      <c r="C288" s="3"/>
      <c r="D288" s="1"/>
      <c r="E288" s="1"/>
      <c r="F288" s="1"/>
      <c r="G288" s="1"/>
      <c r="H288" s="1"/>
      <c r="I288" s="1"/>
      <c r="J288" s="6"/>
      <c r="K288" s="6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</row>
    <row r="289" spans="1:42" ht="13.5" customHeight="1">
      <c r="A289" s="1"/>
      <c r="B289" s="1"/>
      <c r="C289" s="3"/>
      <c r="D289" s="1"/>
      <c r="E289" s="1"/>
      <c r="F289" s="1"/>
      <c r="G289" s="1"/>
      <c r="H289" s="1"/>
      <c r="I289" s="1"/>
      <c r="J289" s="6"/>
      <c r="K289" s="6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</row>
    <row r="290" spans="1:42" ht="13.5" customHeight="1">
      <c r="A290" s="1"/>
      <c r="B290" s="1"/>
      <c r="C290" s="3"/>
      <c r="D290" s="1"/>
      <c r="E290" s="1"/>
      <c r="F290" s="1"/>
      <c r="G290" s="1"/>
      <c r="H290" s="1"/>
      <c r="I290" s="1"/>
      <c r="J290" s="6"/>
      <c r="K290" s="6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</row>
    <row r="291" spans="1:42" ht="13.5" customHeight="1">
      <c r="A291" s="1"/>
      <c r="B291" s="1"/>
      <c r="C291" s="3"/>
      <c r="D291" s="1"/>
      <c r="E291" s="1"/>
      <c r="F291" s="1"/>
      <c r="G291" s="1"/>
      <c r="H291" s="1"/>
      <c r="I291" s="1"/>
      <c r="J291" s="6"/>
      <c r="K291" s="6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</row>
    <row r="292" spans="1:42" ht="13.5" customHeight="1">
      <c r="A292" s="1"/>
      <c r="B292" s="1"/>
      <c r="C292" s="3"/>
      <c r="D292" s="1"/>
      <c r="E292" s="1"/>
      <c r="F292" s="1"/>
      <c r="G292" s="1"/>
      <c r="H292" s="1"/>
      <c r="I292" s="1"/>
      <c r="J292" s="6"/>
      <c r="K292" s="6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</row>
    <row r="293" spans="1:42" ht="13.5" customHeight="1">
      <c r="A293" s="1"/>
      <c r="B293" s="1"/>
      <c r="C293" s="3"/>
      <c r="D293" s="1"/>
      <c r="E293" s="1"/>
      <c r="F293" s="1"/>
      <c r="G293" s="1"/>
      <c r="H293" s="1"/>
      <c r="I293" s="1"/>
      <c r="J293" s="6"/>
      <c r="K293" s="6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</row>
    <row r="294" spans="1:42" ht="13.5" customHeight="1">
      <c r="A294" s="1"/>
      <c r="B294" s="1"/>
      <c r="C294" s="3"/>
      <c r="D294" s="1"/>
      <c r="E294" s="1"/>
      <c r="F294" s="1"/>
      <c r="G294" s="1"/>
      <c r="H294" s="1"/>
      <c r="I294" s="1"/>
      <c r="J294" s="6"/>
      <c r="K294" s="6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</row>
    <row r="295" spans="1:42" ht="13.5" customHeight="1">
      <c r="A295" s="1"/>
      <c r="B295" s="1"/>
      <c r="C295" s="3"/>
      <c r="D295" s="1"/>
      <c r="E295" s="1"/>
      <c r="F295" s="1"/>
      <c r="G295" s="1"/>
      <c r="H295" s="1"/>
      <c r="I295" s="1"/>
      <c r="J295" s="6"/>
      <c r="K295" s="6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</row>
    <row r="296" spans="1:42" ht="13.5" customHeight="1">
      <c r="A296" s="1"/>
      <c r="B296" s="1"/>
      <c r="C296" s="3"/>
      <c r="D296" s="1"/>
      <c r="E296" s="1"/>
      <c r="F296" s="1"/>
      <c r="G296" s="1"/>
      <c r="H296" s="1"/>
      <c r="I296" s="1"/>
      <c r="J296" s="6"/>
      <c r="K296" s="6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</row>
    <row r="297" spans="1:42" ht="13.5" customHeight="1">
      <c r="A297" s="1"/>
      <c r="B297" s="1"/>
      <c r="C297" s="3"/>
      <c r="D297" s="1"/>
      <c r="E297" s="1"/>
      <c r="F297" s="1"/>
      <c r="G297" s="1"/>
      <c r="H297" s="1"/>
      <c r="I297" s="1"/>
      <c r="J297" s="6"/>
      <c r="K297" s="6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</row>
    <row r="298" spans="1:42" ht="13.5" customHeight="1">
      <c r="A298" s="1"/>
      <c r="B298" s="1"/>
      <c r="C298" s="3"/>
      <c r="D298" s="1"/>
      <c r="E298" s="1"/>
      <c r="F298" s="1"/>
      <c r="G298" s="1"/>
      <c r="H298" s="1"/>
      <c r="I298" s="1"/>
      <c r="J298" s="6"/>
      <c r="K298" s="6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</row>
    <row r="299" spans="1:42" ht="13.5" customHeight="1">
      <c r="A299" s="1"/>
      <c r="B299" s="1"/>
      <c r="C299" s="3"/>
      <c r="D299" s="1"/>
      <c r="E299" s="1"/>
      <c r="F299" s="1"/>
      <c r="G299" s="1"/>
      <c r="H299" s="1"/>
      <c r="I299" s="1"/>
      <c r="J299" s="6"/>
      <c r="K299" s="6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</row>
    <row r="300" spans="1:42" ht="13.5" customHeight="1">
      <c r="A300" s="1"/>
      <c r="B300" s="1"/>
      <c r="C300" s="3"/>
      <c r="D300" s="1"/>
      <c r="E300" s="1"/>
      <c r="F300" s="1"/>
      <c r="G300" s="1"/>
      <c r="H300" s="1"/>
      <c r="I300" s="1"/>
      <c r="J300" s="6"/>
      <c r="K300" s="6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</row>
    <row r="301" spans="1:42" ht="13.5" customHeight="1">
      <c r="A301" s="1"/>
      <c r="B301" s="1"/>
      <c r="C301" s="3"/>
      <c r="D301" s="1"/>
      <c r="E301" s="1"/>
      <c r="F301" s="1"/>
      <c r="G301" s="1"/>
      <c r="H301" s="1"/>
      <c r="I301" s="1"/>
      <c r="J301" s="6"/>
      <c r="K301" s="6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</row>
    <row r="302" spans="1:42" ht="13.5" customHeight="1">
      <c r="A302" s="1"/>
      <c r="B302" s="1"/>
      <c r="C302" s="3"/>
      <c r="D302" s="1"/>
      <c r="E302" s="1"/>
      <c r="F302" s="1"/>
      <c r="G302" s="1"/>
      <c r="H302" s="1"/>
      <c r="I302" s="1"/>
      <c r="J302" s="6"/>
      <c r="K302" s="6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</row>
    <row r="303" spans="1:42" ht="13.5" customHeight="1">
      <c r="A303" s="1"/>
      <c r="B303" s="1"/>
      <c r="C303" s="3"/>
      <c r="D303" s="1"/>
      <c r="E303" s="1"/>
      <c r="F303" s="1"/>
      <c r="G303" s="1"/>
      <c r="H303" s="1"/>
      <c r="I303" s="1"/>
      <c r="J303" s="6"/>
      <c r="K303" s="6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</row>
    <row r="304" spans="1:42" ht="13.5" customHeight="1">
      <c r="A304" s="1"/>
      <c r="B304" s="1"/>
      <c r="C304" s="3"/>
      <c r="D304" s="1"/>
      <c r="E304" s="1"/>
      <c r="F304" s="1"/>
      <c r="G304" s="1"/>
      <c r="H304" s="1"/>
      <c r="I304" s="1"/>
      <c r="J304" s="6"/>
      <c r="K304" s="6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</row>
    <row r="305" spans="1:42" ht="13.5" customHeight="1">
      <c r="A305" s="1"/>
      <c r="B305" s="1"/>
      <c r="C305" s="3"/>
      <c r="D305" s="1"/>
      <c r="E305" s="1"/>
      <c r="F305" s="1"/>
      <c r="G305" s="1"/>
      <c r="H305" s="1"/>
      <c r="I305" s="1"/>
      <c r="J305" s="6"/>
      <c r="K305" s="6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</row>
    <row r="306" spans="1:42" ht="13.5" customHeight="1">
      <c r="A306" s="1"/>
      <c r="B306" s="1"/>
      <c r="C306" s="3"/>
      <c r="D306" s="1"/>
      <c r="E306" s="1"/>
      <c r="F306" s="1"/>
      <c r="G306" s="1"/>
      <c r="H306" s="1"/>
      <c r="I306" s="1"/>
      <c r="J306" s="6"/>
      <c r="K306" s="6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</row>
    <row r="307" spans="1:42" ht="13.5" customHeight="1">
      <c r="A307" s="1"/>
      <c r="B307" s="1"/>
      <c r="C307" s="3"/>
      <c r="D307" s="1"/>
      <c r="E307" s="1"/>
      <c r="F307" s="1"/>
      <c r="G307" s="1"/>
      <c r="H307" s="1"/>
      <c r="I307" s="1"/>
      <c r="J307" s="6"/>
      <c r="K307" s="6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</row>
    <row r="308" spans="1:42" ht="13.5" customHeight="1">
      <c r="A308" s="1"/>
      <c r="B308" s="1"/>
      <c r="C308" s="3"/>
      <c r="D308" s="1"/>
      <c r="E308" s="1"/>
      <c r="F308" s="1"/>
      <c r="G308" s="1"/>
      <c r="H308" s="1"/>
      <c r="I308" s="1"/>
      <c r="J308" s="6"/>
      <c r="K308" s="6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</row>
    <row r="309" spans="1:42" ht="13.5" customHeight="1">
      <c r="A309" s="1"/>
      <c r="B309" s="1"/>
      <c r="C309" s="3"/>
      <c r="D309" s="1"/>
      <c r="E309" s="1"/>
      <c r="F309" s="1"/>
      <c r="G309" s="1"/>
      <c r="H309" s="1"/>
      <c r="I309" s="1"/>
      <c r="J309" s="6"/>
      <c r="K309" s="6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</row>
    <row r="310" spans="1:42" ht="13.5" customHeight="1">
      <c r="A310" s="1"/>
      <c r="B310" s="1"/>
      <c r="C310" s="3"/>
      <c r="D310" s="1"/>
      <c r="E310" s="1"/>
      <c r="F310" s="1"/>
      <c r="G310" s="1"/>
      <c r="H310" s="1"/>
      <c r="I310" s="1"/>
      <c r="J310" s="6"/>
      <c r="K310" s="6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</row>
    <row r="311" spans="1:42" ht="13.5" customHeight="1">
      <c r="A311" s="1"/>
      <c r="B311" s="1"/>
      <c r="C311" s="3"/>
      <c r="D311" s="1"/>
      <c r="E311" s="1"/>
      <c r="F311" s="1"/>
      <c r="G311" s="1"/>
      <c r="H311" s="1"/>
      <c r="I311" s="1"/>
      <c r="J311" s="6"/>
      <c r="K311" s="6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</row>
    <row r="312" spans="1:42" ht="13.5" customHeight="1">
      <c r="A312" s="1"/>
      <c r="B312" s="1"/>
      <c r="C312" s="3"/>
      <c r="D312" s="1"/>
      <c r="E312" s="1"/>
      <c r="F312" s="1"/>
      <c r="G312" s="1"/>
      <c r="H312" s="1"/>
      <c r="I312" s="1"/>
      <c r="J312" s="6"/>
      <c r="K312" s="6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</row>
    <row r="313" spans="1:42" ht="13.5" customHeight="1">
      <c r="A313" s="1"/>
      <c r="B313" s="1"/>
      <c r="C313" s="3"/>
      <c r="D313" s="1"/>
      <c r="E313" s="1"/>
      <c r="F313" s="1"/>
      <c r="G313" s="1"/>
      <c r="H313" s="1"/>
      <c r="I313" s="1"/>
      <c r="J313" s="6"/>
      <c r="K313" s="6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</row>
    <row r="314" spans="1:42" ht="13.5" customHeight="1">
      <c r="A314" s="1"/>
      <c r="B314" s="1"/>
      <c r="C314" s="3"/>
      <c r="D314" s="1"/>
      <c r="E314" s="1"/>
      <c r="F314" s="1"/>
      <c r="G314" s="1"/>
      <c r="H314" s="1"/>
      <c r="I314" s="1"/>
      <c r="J314" s="6"/>
      <c r="K314" s="6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</row>
    <row r="315" spans="1:42" ht="13.5" customHeight="1">
      <c r="A315" s="1"/>
      <c r="B315" s="1"/>
      <c r="C315" s="3"/>
      <c r="D315" s="1"/>
      <c r="E315" s="1"/>
      <c r="F315" s="1"/>
      <c r="G315" s="1"/>
      <c r="H315" s="1"/>
      <c r="I315" s="1"/>
      <c r="J315" s="6"/>
      <c r="K315" s="6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</row>
    <row r="316" spans="1:42" ht="13.5" customHeight="1">
      <c r="A316" s="1"/>
      <c r="B316" s="1"/>
      <c r="C316" s="3"/>
      <c r="D316" s="1"/>
      <c r="E316" s="1"/>
      <c r="F316" s="1"/>
      <c r="G316" s="1"/>
      <c r="H316" s="1"/>
      <c r="I316" s="1"/>
      <c r="J316" s="6"/>
      <c r="K316" s="6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</row>
    <row r="317" spans="1:42" ht="13.5" customHeight="1">
      <c r="A317" s="1"/>
      <c r="B317" s="1"/>
      <c r="C317" s="3"/>
      <c r="D317" s="1"/>
      <c r="E317" s="1"/>
      <c r="F317" s="1"/>
      <c r="G317" s="1"/>
      <c r="H317" s="1"/>
      <c r="I317" s="1"/>
      <c r="J317" s="6"/>
      <c r="K317" s="6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</row>
    <row r="318" spans="1:42" ht="13.5" customHeight="1">
      <c r="A318" s="1"/>
      <c r="B318" s="1"/>
      <c r="C318" s="3"/>
      <c r="D318" s="1"/>
      <c r="E318" s="1"/>
      <c r="F318" s="1"/>
      <c r="G318" s="1"/>
      <c r="H318" s="1"/>
      <c r="I318" s="1"/>
      <c r="J318" s="6"/>
      <c r="K318" s="6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</row>
    <row r="319" spans="1:42" ht="13.5" customHeight="1">
      <c r="A319" s="1"/>
      <c r="B319" s="1"/>
      <c r="C319" s="3"/>
      <c r="D319" s="1"/>
      <c r="E319" s="1"/>
      <c r="F319" s="1"/>
      <c r="G319" s="1"/>
      <c r="H319" s="1"/>
      <c r="I319" s="1"/>
      <c r="J319" s="6"/>
      <c r="K319" s="6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</row>
    <row r="320" spans="1:42" ht="13.5" customHeight="1">
      <c r="A320" s="1"/>
      <c r="B320" s="1"/>
      <c r="C320" s="3"/>
      <c r="D320" s="1"/>
      <c r="E320" s="1"/>
      <c r="F320" s="1"/>
      <c r="G320" s="1"/>
      <c r="H320" s="1"/>
      <c r="I320" s="1"/>
      <c r="J320" s="6"/>
      <c r="K320" s="6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</row>
    <row r="321" spans="1:42" ht="13.5" customHeight="1">
      <c r="A321" s="1"/>
      <c r="B321" s="1"/>
      <c r="C321" s="3"/>
      <c r="D321" s="1"/>
      <c r="E321" s="1"/>
      <c r="F321" s="1"/>
      <c r="G321" s="1"/>
      <c r="H321" s="1"/>
      <c r="I321" s="1"/>
      <c r="J321" s="6"/>
      <c r="K321" s="6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</row>
    <row r="322" spans="1:42" ht="13.5" customHeight="1">
      <c r="A322" s="1"/>
      <c r="B322" s="1"/>
      <c r="C322" s="3"/>
      <c r="D322" s="1"/>
      <c r="E322" s="1"/>
      <c r="F322" s="1"/>
      <c r="G322" s="1"/>
      <c r="H322" s="1"/>
      <c r="I322" s="1"/>
      <c r="J322" s="6"/>
      <c r="K322" s="6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</row>
    <row r="323" spans="1:42" ht="13.5" customHeight="1">
      <c r="A323" s="1"/>
      <c r="B323" s="1"/>
      <c r="C323" s="3"/>
      <c r="D323" s="1"/>
      <c r="E323" s="1"/>
      <c r="F323" s="1"/>
      <c r="G323" s="1"/>
      <c r="H323" s="1"/>
      <c r="I323" s="1"/>
      <c r="J323" s="6"/>
      <c r="K323" s="6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</row>
    <row r="324" spans="1:42" ht="13.5" customHeight="1">
      <c r="A324" s="1"/>
      <c r="B324" s="1"/>
      <c r="C324" s="3"/>
      <c r="D324" s="1"/>
      <c r="E324" s="1"/>
      <c r="F324" s="1"/>
      <c r="G324" s="1"/>
      <c r="H324" s="1"/>
      <c r="I324" s="1"/>
      <c r="J324" s="6"/>
      <c r="K324" s="6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</row>
    <row r="325" spans="1:42" ht="13.5" customHeight="1">
      <c r="A325" s="1"/>
      <c r="B325" s="1"/>
      <c r="C325" s="3"/>
      <c r="D325" s="1"/>
      <c r="E325" s="1"/>
      <c r="F325" s="1"/>
      <c r="G325" s="1"/>
      <c r="H325" s="1"/>
      <c r="I325" s="1"/>
      <c r="J325" s="6"/>
      <c r="K325" s="6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</row>
    <row r="326" spans="1:42" ht="13.5" customHeight="1">
      <c r="A326" s="1"/>
      <c r="B326" s="1"/>
      <c r="C326" s="3"/>
      <c r="D326" s="1"/>
      <c r="E326" s="1"/>
      <c r="F326" s="1"/>
      <c r="G326" s="1"/>
      <c r="H326" s="1"/>
      <c r="I326" s="1"/>
      <c r="J326" s="6"/>
      <c r="K326" s="6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</row>
    <row r="327" spans="1:42" ht="13.5" customHeight="1">
      <c r="A327" s="1"/>
      <c r="B327" s="1"/>
      <c r="C327" s="3"/>
      <c r="D327" s="1"/>
      <c r="E327" s="1"/>
      <c r="F327" s="1"/>
      <c r="G327" s="1"/>
      <c r="H327" s="1"/>
      <c r="I327" s="1"/>
      <c r="J327" s="6"/>
      <c r="K327" s="6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</row>
    <row r="328" spans="1:42" ht="13.5" customHeight="1">
      <c r="A328" s="1"/>
      <c r="B328" s="1"/>
      <c r="C328" s="3"/>
      <c r="D328" s="1"/>
      <c r="E328" s="1"/>
      <c r="F328" s="1"/>
      <c r="G328" s="1"/>
      <c r="H328" s="1"/>
      <c r="I328" s="1"/>
      <c r="J328" s="6"/>
      <c r="K328" s="6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</row>
    <row r="329" spans="1:42" ht="13.5" customHeight="1">
      <c r="A329" s="1"/>
      <c r="B329" s="1"/>
      <c r="C329" s="3"/>
      <c r="D329" s="1"/>
      <c r="E329" s="1"/>
      <c r="F329" s="1"/>
      <c r="G329" s="1"/>
      <c r="H329" s="1"/>
      <c r="I329" s="1"/>
      <c r="J329" s="6"/>
      <c r="K329" s="6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</row>
    <row r="330" spans="1:42" ht="13.5" customHeight="1">
      <c r="A330" s="1"/>
      <c r="B330" s="1"/>
      <c r="C330" s="3"/>
      <c r="D330" s="1"/>
      <c r="E330" s="1"/>
      <c r="F330" s="1"/>
      <c r="G330" s="1"/>
      <c r="H330" s="1"/>
      <c r="I330" s="1"/>
      <c r="J330" s="6"/>
      <c r="K330" s="6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</row>
    <row r="331" spans="1:42" ht="13.5" customHeight="1">
      <c r="A331" s="1"/>
      <c r="B331" s="1"/>
      <c r="C331" s="3"/>
      <c r="D331" s="1"/>
      <c r="E331" s="1"/>
      <c r="F331" s="1"/>
      <c r="G331" s="1"/>
      <c r="H331" s="1"/>
      <c r="I331" s="1"/>
      <c r="J331" s="6"/>
      <c r="K331" s="6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</row>
    <row r="332" spans="1:42" ht="13.5" customHeight="1">
      <c r="A332" s="1"/>
      <c r="B332" s="1"/>
      <c r="C332" s="3"/>
      <c r="D332" s="1"/>
      <c r="E332" s="1"/>
      <c r="F332" s="1"/>
      <c r="G332" s="1"/>
      <c r="H332" s="1"/>
      <c r="I332" s="1"/>
      <c r="J332" s="6"/>
      <c r="K332" s="6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</row>
    <row r="333" spans="1:42" ht="13.5" customHeight="1">
      <c r="A333" s="1"/>
      <c r="B333" s="1"/>
      <c r="C333" s="3"/>
      <c r="D333" s="1"/>
      <c r="E333" s="1"/>
      <c r="F333" s="1"/>
      <c r="G333" s="1"/>
      <c r="H333" s="1"/>
      <c r="I333" s="1"/>
      <c r="J333" s="6"/>
      <c r="K333" s="6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</row>
    <row r="334" spans="1:42" ht="13.5" customHeight="1">
      <c r="A334" s="1"/>
      <c r="B334" s="1"/>
      <c r="C334" s="3"/>
      <c r="D334" s="1"/>
      <c r="E334" s="1"/>
      <c r="F334" s="1"/>
      <c r="G334" s="1"/>
      <c r="H334" s="1"/>
      <c r="I334" s="1"/>
      <c r="J334" s="6"/>
      <c r="K334" s="6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</row>
    <row r="335" spans="1:42" ht="13.5" customHeight="1">
      <c r="A335" s="1"/>
      <c r="B335" s="1"/>
      <c r="C335" s="3"/>
      <c r="D335" s="1"/>
      <c r="E335" s="1"/>
      <c r="F335" s="1"/>
      <c r="G335" s="1"/>
      <c r="H335" s="1"/>
      <c r="I335" s="1"/>
      <c r="J335" s="6"/>
      <c r="K335" s="6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</row>
    <row r="336" spans="1:42" ht="13.5" customHeight="1">
      <c r="A336" s="1"/>
      <c r="B336" s="1"/>
      <c r="C336" s="3"/>
      <c r="D336" s="1"/>
      <c r="E336" s="1"/>
      <c r="F336" s="1"/>
      <c r="G336" s="1"/>
      <c r="H336" s="1"/>
      <c r="I336" s="1"/>
      <c r="J336" s="6"/>
      <c r="K336" s="6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</row>
    <row r="337" spans="1:42" ht="13.5" customHeight="1">
      <c r="A337" s="1"/>
      <c r="B337" s="1"/>
      <c r="C337" s="3"/>
      <c r="D337" s="1"/>
      <c r="E337" s="1"/>
      <c r="F337" s="1"/>
      <c r="G337" s="1"/>
      <c r="H337" s="1"/>
      <c r="I337" s="1"/>
      <c r="J337" s="6"/>
      <c r="K337" s="6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</row>
    <row r="338" spans="1:42" ht="13.5" customHeight="1">
      <c r="A338" s="1"/>
      <c r="B338" s="1"/>
      <c r="C338" s="3"/>
      <c r="D338" s="1"/>
      <c r="E338" s="1"/>
      <c r="F338" s="1"/>
      <c r="G338" s="1"/>
      <c r="H338" s="1"/>
      <c r="I338" s="1"/>
      <c r="J338" s="6"/>
      <c r="K338" s="6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</row>
    <row r="339" spans="1:42" ht="13.5" customHeight="1">
      <c r="A339" s="1"/>
      <c r="B339" s="1"/>
      <c r="C339" s="3"/>
      <c r="D339" s="1"/>
      <c r="E339" s="1"/>
      <c r="F339" s="1"/>
      <c r="G339" s="1"/>
      <c r="H339" s="1"/>
      <c r="I339" s="1"/>
      <c r="J339" s="6"/>
      <c r="K339" s="6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</row>
    <row r="340" spans="1:42" ht="13.5" customHeight="1">
      <c r="A340" s="1"/>
      <c r="B340" s="1"/>
      <c r="C340" s="3"/>
      <c r="D340" s="1"/>
      <c r="E340" s="1"/>
      <c r="F340" s="1"/>
      <c r="G340" s="1"/>
      <c r="H340" s="1"/>
      <c r="I340" s="1"/>
      <c r="J340" s="6"/>
      <c r="K340" s="6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</row>
    <row r="341" spans="1:42" ht="13.5" customHeight="1">
      <c r="A341" s="1"/>
      <c r="B341" s="1"/>
      <c r="C341" s="3"/>
      <c r="D341" s="1"/>
      <c r="E341" s="1"/>
      <c r="F341" s="1"/>
      <c r="G341" s="1"/>
      <c r="H341" s="1"/>
      <c r="I341" s="1"/>
      <c r="J341" s="6"/>
      <c r="K341" s="6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</row>
    <row r="342" spans="1:42" ht="13.5" customHeight="1">
      <c r="A342" s="1"/>
      <c r="B342" s="1"/>
      <c r="C342" s="3"/>
      <c r="D342" s="1"/>
      <c r="E342" s="1"/>
      <c r="F342" s="1"/>
      <c r="G342" s="1"/>
      <c r="H342" s="1"/>
      <c r="I342" s="1"/>
      <c r="J342" s="6"/>
      <c r="K342" s="6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</row>
    <row r="343" spans="1:42" ht="13.5" customHeight="1">
      <c r="A343" s="1"/>
      <c r="B343" s="1"/>
      <c r="C343" s="3"/>
      <c r="D343" s="1"/>
      <c r="E343" s="1"/>
      <c r="F343" s="1"/>
      <c r="G343" s="1"/>
      <c r="H343" s="1"/>
      <c r="I343" s="1"/>
      <c r="J343" s="6"/>
      <c r="K343" s="6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</row>
    <row r="344" spans="1:42" ht="13.5" customHeight="1">
      <c r="A344" s="1"/>
      <c r="B344" s="1"/>
      <c r="C344" s="3"/>
      <c r="D344" s="1"/>
      <c r="E344" s="1"/>
      <c r="F344" s="1"/>
      <c r="G344" s="1"/>
      <c r="H344" s="1"/>
      <c r="I344" s="1"/>
      <c r="J344" s="6"/>
      <c r="K344" s="6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</row>
    <row r="345" spans="1:42" ht="13.5" customHeight="1">
      <c r="A345" s="1"/>
      <c r="B345" s="1"/>
      <c r="C345" s="3"/>
      <c r="D345" s="1"/>
      <c r="E345" s="1"/>
      <c r="F345" s="1"/>
      <c r="G345" s="1"/>
      <c r="H345" s="1"/>
      <c r="I345" s="1"/>
      <c r="J345" s="6"/>
      <c r="K345" s="6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</row>
    <row r="346" spans="1:42" ht="13.5" customHeight="1">
      <c r="A346" s="1"/>
      <c r="B346" s="1"/>
      <c r="C346" s="3"/>
      <c r="D346" s="1"/>
      <c r="E346" s="1"/>
      <c r="F346" s="1"/>
      <c r="G346" s="1"/>
      <c r="H346" s="1"/>
      <c r="I346" s="1"/>
      <c r="J346" s="6"/>
      <c r="K346" s="6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</row>
    <row r="347" spans="1:42" ht="13.5" customHeight="1">
      <c r="A347" s="1"/>
      <c r="B347" s="1"/>
      <c r="C347" s="3"/>
      <c r="D347" s="1"/>
      <c r="E347" s="1"/>
      <c r="F347" s="1"/>
      <c r="G347" s="1"/>
      <c r="H347" s="1"/>
      <c r="I347" s="1"/>
      <c r="J347" s="6"/>
      <c r="K347" s="6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</row>
    <row r="348" spans="1:42" ht="13.5" customHeight="1">
      <c r="A348" s="1"/>
      <c r="B348" s="1"/>
      <c r="C348" s="3"/>
      <c r="D348" s="1"/>
      <c r="E348" s="1"/>
      <c r="F348" s="1"/>
      <c r="G348" s="1"/>
      <c r="H348" s="1"/>
      <c r="I348" s="1"/>
      <c r="J348" s="6"/>
      <c r="K348" s="6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</row>
    <row r="349" spans="1:42" ht="13.5" customHeight="1">
      <c r="A349" s="1"/>
      <c r="B349" s="1"/>
      <c r="C349" s="3"/>
      <c r="D349" s="1"/>
      <c r="E349" s="1"/>
      <c r="F349" s="1"/>
      <c r="G349" s="1"/>
      <c r="H349" s="1"/>
      <c r="I349" s="1"/>
      <c r="J349" s="6"/>
      <c r="K349" s="6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</row>
    <row r="350" spans="1:42" ht="13.5" customHeight="1">
      <c r="A350" s="1"/>
      <c r="B350" s="1"/>
      <c r="C350" s="3"/>
      <c r="D350" s="1"/>
      <c r="E350" s="1"/>
      <c r="F350" s="1"/>
      <c r="G350" s="1"/>
      <c r="H350" s="1"/>
      <c r="I350" s="1"/>
      <c r="J350" s="6"/>
      <c r="K350" s="6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</row>
    <row r="351" spans="1:42" ht="13.5" customHeight="1">
      <c r="A351" s="1"/>
      <c r="B351" s="1"/>
      <c r="C351" s="3"/>
      <c r="D351" s="1"/>
      <c r="E351" s="1"/>
      <c r="F351" s="1"/>
      <c r="G351" s="1"/>
      <c r="H351" s="1"/>
      <c r="I351" s="1"/>
      <c r="J351" s="6"/>
      <c r="K351" s="6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</row>
    <row r="352" spans="1:42" ht="13.5" customHeight="1">
      <c r="A352" s="1"/>
      <c r="B352" s="1"/>
      <c r="C352" s="3"/>
      <c r="D352" s="1"/>
      <c r="E352" s="1"/>
      <c r="F352" s="1"/>
      <c r="G352" s="1"/>
      <c r="H352" s="1"/>
      <c r="I352" s="1"/>
      <c r="J352" s="6"/>
      <c r="K352" s="6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</row>
    <row r="353" spans="1:42" ht="13.5" customHeight="1">
      <c r="A353" s="1"/>
      <c r="B353" s="1"/>
      <c r="C353" s="3"/>
      <c r="D353" s="1"/>
      <c r="E353" s="1"/>
      <c r="F353" s="1"/>
      <c r="G353" s="1"/>
      <c r="H353" s="1"/>
      <c r="I353" s="1"/>
      <c r="J353" s="6"/>
      <c r="K353" s="6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</row>
    <row r="354" spans="1:42" ht="13.5" customHeight="1">
      <c r="A354" s="1"/>
      <c r="B354" s="1"/>
      <c r="C354" s="3"/>
      <c r="D354" s="1"/>
      <c r="E354" s="1"/>
      <c r="F354" s="1"/>
      <c r="G354" s="1"/>
      <c r="H354" s="1"/>
      <c r="I354" s="1"/>
      <c r="J354" s="6"/>
      <c r="K354" s="6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</row>
    <row r="355" spans="1:42" ht="13.5" customHeight="1">
      <c r="A355" s="1"/>
      <c r="B355" s="1"/>
      <c r="C355" s="3"/>
      <c r="D355" s="1"/>
      <c r="E355" s="1"/>
      <c r="F355" s="1"/>
      <c r="G355" s="1"/>
      <c r="H355" s="1"/>
      <c r="I355" s="1"/>
      <c r="J355" s="6"/>
      <c r="K355" s="6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</row>
    <row r="356" spans="1:42" ht="13.5" customHeight="1">
      <c r="A356" s="1"/>
      <c r="B356" s="1"/>
      <c r="C356" s="3"/>
      <c r="D356" s="1"/>
      <c r="E356" s="1"/>
      <c r="F356" s="1"/>
      <c r="G356" s="1"/>
      <c r="H356" s="1"/>
      <c r="I356" s="1"/>
      <c r="J356" s="6"/>
      <c r="K356" s="6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</row>
    <row r="357" spans="1:42" ht="13.5" customHeight="1">
      <c r="A357" s="1"/>
      <c r="B357" s="1"/>
      <c r="C357" s="3"/>
      <c r="D357" s="1"/>
      <c r="E357" s="1"/>
      <c r="F357" s="1"/>
      <c r="G357" s="1"/>
      <c r="H357" s="1"/>
      <c r="I357" s="1"/>
      <c r="J357" s="6"/>
      <c r="K357" s="6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</row>
    <row r="358" spans="1:42" ht="13.5" customHeight="1">
      <c r="A358" s="1"/>
      <c r="B358" s="1"/>
      <c r="C358" s="3"/>
      <c r="D358" s="1"/>
      <c r="E358" s="1"/>
      <c r="F358" s="1"/>
      <c r="G358" s="1"/>
      <c r="H358" s="1"/>
      <c r="I358" s="1"/>
      <c r="J358" s="6"/>
      <c r="K358" s="6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</row>
    <row r="359" spans="1:42" ht="13.5" customHeight="1">
      <c r="A359" s="1"/>
      <c r="B359" s="1"/>
      <c r="C359" s="3"/>
      <c r="D359" s="1"/>
      <c r="E359" s="1"/>
      <c r="F359" s="1"/>
      <c r="G359" s="1"/>
      <c r="H359" s="1"/>
      <c r="I359" s="1"/>
      <c r="J359" s="6"/>
      <c r="K359" s="6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</row>
    <row r="360" spans="1:42" ht="13.5" customHeight="1">
      <c r="A360" s="1"/>
      <c r="B360" s="1"/>
      <c r="C360" s="3"/>
      <c r="D360" s="1"/>
      <c r="E360" s="1"/>
      <c r="F360" s="1"/>
      <c r="G360" s="1"/>
      <c r="H360" s="1"/>
      <c r="I360" s="1"/>
      <c r="J360" s="6"/>
      <c r="K360" s="6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</row>
    <row r="361" spans="1:42" ht="13.5" customHeight="1">
      <c r="A361" s="1"/>
      <c r="B361" s="1"/>
      <c r="C361" s="3"/>
      <c r="D361" s="1"/>
      <c r="E361" s="1"/>
      <c r="F361" s="1"/>
      <c r="G361" s="1"/>
      <c r="H361" s="1"/>
      <c r="I361" s="1"/>
      <c r="J361" s="6"/>
      <c r="K361" s="6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</row>
    <row r="362" spans="1:42" ht="13.5" customHeight="1">
      <c r="A362" s="1"/>
      <c r="B362" s="1"/>
      <c r="C362" s="3"/>
      <c r="D362" s="1"/>
      <c r="E362" s="1"/>
      <c r="F362" s="1"/>
      <c r="G362" s="1"/>
      <c r="H362" s="1"/>
      <c r="I362" s="1"/>
      <c r="J362" s="6"/>
      <c r="K362" s="6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</row>
    <row r="363" spans="1:42" ht="13.5" customHeight="1">
      <c r="A363" s="1"/>
      <c r="B363" s="1"/>
      <c r="C363" s="3"/>
      <c r="D363" s="1"/>
      <c r="E363" s="1"/>
      <c r="F363" s="1"/>
      <c r="G363" s="1"/>
      <c r="H363" s="1"/>
      <c r="I363" s="1"/>
      <c r="J363" s="6"/>
      <c r="K363" s="6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</row>
    <row r="364" spans="1:42" ht="13.5" customHeight="1">
      <c r="A364" s="1"/>
      <c r="B364" s="1"/>
      <c r="C364" s="3"/>
      <c r="D364" s="1"/>
      <c r="E364" s="1"/>
      <c r="F364" s="1"/>
      <c r="G364" s="1"/>
      <c r="H364" s="1"/>
      <c r="I364" s="1"/>
      <c r="J364" s="6"/>
      <c r="K364" s="6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</row>
    <row r="365" spans="1:42" ht="13.5" customHeight="1">
      <c r="A365" s="1"/>
      <c r="B365" s="1"/>
      <c r="C365" s="3"/>
      <c r="D365" s="1"/>
      <c r="E365" s="1"/>
      <c r="F365" s="1"/>
      <c r="G365" s="1"/>
      <c r="H365" s="1"/>
      <c r="I365" s="1"/>
      <c r="J365" s="6"/>
      <c r="K365" s="6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</row>
    <row r="366" spans="1:42" ht="13.5" customHeight="1">
      <c r="A366" s="1"/>
      <c r="B366" s="1"/>
      <c r="C366" s="3"/>
      <c r="D366" s="1"/>
      <c r="E366" s="1"/>
      <c r="F366" s="1"/>
      <c r="G366" s="1"/>
      <c r="H366" s="1"/>
      <c r="I366" s="1"/>
      <c r="J366" s="6"/>
      <c r="K366" s="6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</row>
    <row r="367" spans="1:42" ht="13.5" customHeight="1">
      <c r="A367" s="1"/>
      <c r="B367" s="1"/>
      <c r="C367" s="3"/>
      <c r="D367" s="1"/>
      <c r="E367" s="1"/>
      <c r="F367" s="1"/>
      <c r="G367" s="1"/>
      <c r="H367" s="1"/>
      <c r="I367" s="1"/>
      <c r="J367" s="6"/>
      <c r="K367" s="6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</row>
    <row r="368" spans="1:42" ht="13.5" customHeight="1">
      <c r="A368" s="1"/>
      <c r="B368" s="1"/>
      <c r="C368" s="3"/>
      <c r="D368" s="1"/>
      <c r="E368" s="1"/>
      <c r="F368" s="1"/>
      <c r="G368" s="1"/>
      <c r="H368" s="1"/>
      <c r="I368" s="1"/>
      <c r="J368" s="6"/>
      <c r="K368" s="6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</row>
    <row r="369" spans="1:42" ht="13.5" customHeight="1">
      <c r="A369" s="1"/>
      <c r="B369" s="1"/>
      <c r="C369" s="3"/>
      <c r="D369" s="1"/>
      <c r="E369" s="1"/>
      <c r="F369" s="1"/>
      <c r="G369" s="1"/>
      <c r="H369" s="1"/>
      <c r="I369" s="1"/>
      <c r="J369" s="6"/>
      <c r="K369" s="6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</row>
    <row r="370" spans="1:42" ht="13.5" customHeight="1">
      <c r="A370" s="1"/>
      <c r="B370" s="1"/>
      <c r="C370" s="3"/>
      <c r="D370" s="1"/>
      <c r="E370" s="1"/>
      <c r="F370" s="1"/>
      <c r="G370" s="1"/>
      <c r="H370" s="1"/>
      <c r="I370" s="1"/>
      <c r="J370" s="6"/>
      <c r="K370" s="6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</row>
    <row r="371" spans="1:42" ht="13.5" customHeight="1">
      <c r="A371" s="1"/>
      <c r="B371" s="1"/>
      <c r="C371" s="3"/>
      <c r="D371" s="1"/>
      <c r="E371" s="1"/>
      <c r="F371" s="1"/>
      <c r="G371" s="1"/>
      <c r="H371" s="1"/>
      <c r="I371" s="1"/>
      <c r="J371" s="6"/>
      <c r="K371" s="6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</row>
    <row r="372" spans="1:42" ht="13.5" customHeight="1">
      <c r="A372" s="1"/>
      <c r="B372" s="1"/>
      <c r="C372" s="3"/>
      <c r="D372" s="1"/>
      <c r="E372" s="1"/>
      <c r="F372" s="1"/>
      <c r="G372" s="1"/>
      <c r="H372" s="1"/>
      <c r="I372" s="1"/>
      <c r="J372" s="6"/>
      <c r="K372" s="6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</row>
    <row r="373" spans="1:42" ht="13.5" customHeight="1">
      <c r="A373" s="1"/>
      <c r="B373" s="1"/>
      <c r="C373" s="3"/>
      <c r="D373" s="1"/>
      <c r="E373" s="1"/>
      <c r="F373" s="1"/>
      <c r="G373" s="1"/>
      <c r="H373" s="1"/>
      <c r="I373" s="1"/>
      <c r="J373" s="6"/>
      <c r="K373" s="6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</row>
    <row r="374" spans="1:42" ht="13.5" customHeight="1">
      <c r="A374" s="1"/>
      <c r="B374" s="1"/>
      <c r="C374" s="3"/>
      <c r="D374" s="1"/>
      <c r="E374" s="1"/>
      <c r="F374" s="1"/>
      <c r="G374" s="1"/>
      <c r="H374" s="1"/>
      <c r="I374" s="1"/>
      <c r="J374" s="6"/>
      <c r="K374" s="6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</row>
    <row r="375" spans="1:42" ht="13.5" customHeight="1">
      <c r="A375" s="1"/>
      <c r="B375" s="1"/>
      <c r="C375" s="3"/>
      <c r="D375" s="1"/>
      <c r="E375" s="1"/>
      <c r="F375" s="1"/>
      <c r="G375" s="1"/>
      <c r="H375" s="1"/>
      <c r="I375" s="1"/>
      <c r="J375" s="6"/>
      <c r="K375" s="6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</row>
    <row r="376" spans="1:42" ht="13.5" customHeight="1">
      <c r="A376" s="1"/>
      <c r="B376" s="1"/>
      <c r="C376" s="3"/>
      <c r="D376" s="1"/>
      <c r="E376" s="1"/>
      <c r="F376" s="1"/>
      <c r="G376" s="1"/>
      <c r="H376" s="1"/>
      <c r="I376" s="1"/>
      <c r="J376" s="6"/>
      <c r="K376" s="6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</row>
    <row r="377" spans="1:42" ht="13.5" customHeight="1">
      <c r="A377" s="1"/>
      <c r="B377" s="1"/>
      <c r="C377" s="3"/>
      <c r="D377" s="1"/>
      <c r="E377" s="1"/>
      <c r="F377" s="1"/>
      <c r="G377" s="1"/>
      <c r="H377" s="1"/>
      <c r="I377" s="1"/>
      <c r="J377" s="6"/>
      <c r="K377" s="6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</row>
    <row r="378" spans="1:42" ht="13.5" customHeight="1">
      <c r="A378" s="1"/>
      <c r="B378" s="1"/>
      <c r="C378" s="3"/>
      <c r="D378" s="1"/>
      <c r="E378" s="1"/>
      <c r="F378" s="1"/>
      <c r="G378" s="1"/>
      <c r="H378" s="1"/>
      <c r="I378" s="1"/>
      <c r="J378" s="6"/>
      <c r="K378" s="6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</row>
    <row r="379" spans="1:42" ht="13.5" customHeight="1">
      <c r="A379" s="1"/>
      <c r="B379" s="1"/>
      <c r="C379" s="3"/>
      <c r="D379" s="1"/>
      <c r="E379" s="1"/>
      <c r="F379" s="1"/>
      <c r="G379" s="1"/>
      <c r="H379" s="1"/>
      <c r="I379" s="1"/>
      <c r="J379" s="6"/>
      <c r="K379" s="6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</row>
    <row r="380" spans="1:42" ht="13.5" customHeight="1">
      <c r="A380" s="1"/>
      <c r="B380" s="1"/>
      <c r="C380" s="3"/>
      <c r="D380" s="1"/>
      <c r="E380" s="1"/>
      <c r="F380" s="1"/>
      <c r="G380" s="1"/>
      <c r="H380" s="1"/>
      <c r="I380" s="1"/>
      <c r="J380" s="6"/>
      <c r="K380" s="6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</row>
    <row r="381" spans="1:42" ht="13.5" customHeight="1">
      <c r="A381" s="1"/>
      <c r="B381" s="1"/>
      <c r="C381" s="3"/>
      <c r="D381" s="1"/>
      <c r="E381" s="1"/>
      <c r="F381" s="1"/>
      <c r="G381" s="1"/>
      <c r="H381" s="1"/>
      <c r="I381" s="1"/>
      <c r="J381" s="6"/>
      <c r="K381" s="6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</row>
    <row r="382" spans="1:42" ht="13.5" customHeight="1">
      <c r="A382" s="1"/>
      <c r="B382" s="1"/>
      <c r="C382" s="3"/>
      <c r="D382" s="1"/>
      <c r="E382" s="1"/>
      <c r="F382" s="1"/>
      <c r="G382" s="1"/>
      <c r="H382" s="1"/>
      <c r="I382" s="1"/>
      <c r="J382" s="6"/>
      <c r="K382" s="6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</row>
    <row r="383" spans="1:42" ht="13.5" customHeight="1">
      <c r="A383" s="1"/>
      <c r="B383" s="1"/>
      <c r="C383" s="3"/>
      <c r="D383" s="1"/>
      <c r="E383" s="1"/>
      <c r="F383" s="1"/>
      <c r="G383" s="1"/>
      <c r="H383" s="1"/>
      <c r="I383" s="1"/>
      <c r="J383" s="6"/>
      <c r="K383" s="6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</row>
    <row r="384" spans="1:42" ht="13.5" customHeight="1">
      <c r="A384" s="1"/>
      <c r="B384" s="1"/>
      <c r="C384" s="3"/>
      <c r="D384" s="1"/>
      <c r="E384" s="1"/>
      <c r="F384" s="1"/>
      <c r="G384" s="1"/>
      <c r="H384" s="1"/>
      <c r="I384" s="1"/>
      <c r="J384" s="6"/>
      <c r="K384" s="6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</row>
    <row r="385" spans="1:42" ht="13.5" customHeight="1">
      <c r="A385" s="1"/>
      <c r="B385" s="1"/>
      <c r="C385" s="3"/>
      <c r="D385" s="1"/>
      <c r="E385" s="1"/>
      <c r="F385" s="1"/>
      <c r="G385" s="1"/>
      <c r="H385" s="1"/>
      <c r="I385" s="1"/>
      <c r="J385" s="6"/>
      <c r="K385" s="6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</row>
    <row r="386" spans="1:42" ht="13.5" customHeight="1">
      <c r="A386" s="1"/>
      <c r="B386" s="1"/>
      <c r="C386" s="3"/>
      <c r="D386" s="1"/>
      <c r="E386" s="1"/>
      <c r="F386" s="1"/>
      <c r="G386" s="1"/>
      <c r="H386" s="1"/>
      <c r="I386" s="1"/>
      <c r="J386" s="6"/>
      <c r="K386" s="6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</row>
    <row r="387" spans="1:42" ht="13.5" customHeight="1">
      <c r="A387" s="1"/>
      <c r="B387" s="1"/>
      <c r="C387" s="3"/>
      <c r="D387" s="1"/>
      <c r="E387" s="1"/>
      <c r="F387" s="1"/>
      <c r="G387" s="1"/>
      <c r="H387" s="1"/>
      <c r="I387" s="1"/>
      <c r="J387" s="6"/>
      <c r="K387" s="6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</row>
    <row r="388" spans="1:42" ht="13.5" customHeight="1">
      <c r="A388" s="1"/>
      <c r="B388" s="1"/>
      <c r="C388" s="3"/>
      <c r="D388" s="1"/>
      <c r="E388" s="1"/>
      <c r="F388" s="1"/>
      <c r="G388" s="1"/>
      <c r="H388" s="1"/>
      <c r="I388" s="1"/>
      <c r="J388" s="6"/>
      <c r="K388" s="6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</row>
    <row r="389" spans="1:42" ht="13.5" customHeight="1">
      <c r="A389" s="1"/>
      <c r="B389" s="1"/>
      <c r="C389" s="3"/>
      <c r="D389" s="1"/>
      <c r="E389" s="1"/>
      <c r="F389" s="1"/>
      <c r="G389" s="1"/>
      <c r="H389" s="1"/>
      <c r="I389" s="1"/>
      <c r="J389" s="6"/>
      <c r="K389" s="6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</row>
    <row r="390" spans="1:42" ht="13.5" customHeight="1">
      <c r="A390" s="1"/>
      <c r="B390" s="1"/>
      <c r="C390" s="3"/>
      <c r="D390" s="1"/>
      <c r="E390" s="1"/>
      <c r="F390" s="1"/>
      <c r="G390" s="1"/>
      <c r="H390" s="1"/>
      <c r="I390" s="1"/>
      <c r="J390" s="6"/>
      <c r="K390" s="6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</row>
    <row r="391" spans="1:42" ht="13.5" customHeight="1">
      <c r="A391" s="1"/>
      <c r="B391" s="1"/>
      <c r="C391" s="3"/>
      <c r="D391" s="1"/>
      <c r="E391" s="1"/>
      <c r="F391" s="1"/>
      <c r="G391" s="1"/>
      <c r="H391" s="1"/>
      <c r="I391" s="1"/>
      <c r="J391" s="6"/>
      <c r="K391" s="6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</row>
    <row r="392" spans="1:42" ht="13.5" customHeight="1">
      <c r="A392" s="1"/>
      <c r="B392" s="1"/>
      <c r="C392" s="3"/>
      <c r="D392" s="1"/>
      <c r="E392" s="1"/>
      <c r="F392" s="1"/>
      <c r="G392" s="1"/>
      <c r="H392" s="1"/>
      <c r="I392" s="1"/>
      <c r="J392" s="6"/>
      <c r="K392" s="6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</row>
    <row r="393" spans="1:42" ht="13.5" customHeight="1">
      <c r="A393" s="1"/>
      <c r="B393" s="1"/>
      <c r="C393" s="3"/>
      <c r="D393" s="1"/>
      <c r="E393" s="1"/>
      <c r="F393" s="1"/>
      <c r="G393" s="1"/>
      <c r="H393" s="1"/>
      <c r="I393" s="1"/>
      <c r="J393" s="6"/>
      <c r="K393" s="6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</row>
    <row r="394" spans="1:42" ht="13.5" customHeight="1">
      <c r="A394" s="1"/>
      <c r="B394" s="1"/>
      <c r="C394" s="3"/>
      <c r="D394" s="1"/>
      <c r="E394" s="1"/>
      <c r="F394" s="1"/>
      <c r="G394" s="1"/>
      <c r="H394" s="1"/>
      <c r="I394" s="1"/>
      <c r="J394" s="6"/>
      <c r="K394" s="6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</row>
    <row r="395" spans="1:42" ht="13.5" customHeight="1">
      <c r="A395" s="1"/>
      <c r="B395" s="1"/>
      <c r="C395" s="3"/>
      <c r="D395" s="1"/>
      <c r="E395" s="1"/>
      <c r="F395" s="1"/>
      <c r="G395" s="1"/>
      <c r="H395" s="1"/>
      <c r="I395" s="1"/>
      <c r="J395" s="6"/>
      <c r="K395" s="6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</row>
    <row r="396" spans="1:42" ht="13.5" customHeight="1">
      <c r="A396" s="1"/>
      <c r="B396" s="1"/>
      <c r="C396" s="3"/>
      <c r="D396" s="1"/>
      <c r="E396" s="1"/>
      <c r="F396" s="1"/>
      <c r="G396" s="1"/>
      <c r="H396" s="1"/>
      <c r="I396" s="1"/>
      <c r="J396" s="6"/>
      <c r="K396" s="6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</row>
    <row r="397" spans="1:42" ht="13.5" customHeight="1">
      <c r="A397" s="1"/>
      <c r="B397" s="1"/>
      <c r="C397" s="3"/>
      <c r="D397" s="1"/>
      <c r="E397" s="1"/>
      <c r="F397" s="1"/>
      <c r="G397" s="1"/>
      <c r="H397" s="1"/>
      <c r="I397" s="1"/>
      <c r="J397" s="6"/>
      <c r="K397" s="6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</row>
    <row r="398" spans="1:42" ht="13.5" customHeight="1">
      <c r="A398" s="1"/>
      <c r="B398" s="1"/>
      <c r="C398" s="3"/>
      <c r="D398" s="1"/>
      <c r="E398" s="1"/>
      <c r="F398" s="1"/>
      <c r="G398" s="1"/>
      <c r="H398" s="1"/>
      <c r="I398" s="1"/>
      <c r="J398" s="6"/>
      <c r="K398" s="6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</row>
    <row r="399" spans="1:42" ht="13.5" customHeight="1">
      <c r="A399" s="1"/>
      <c r="B399" s="1"/>
      <c r="C399" s="3"/>
      <c r="D399" s="1"/>
      <c r="E399" s="1"/>
      <c r="F399" s="1"/>
      <c r="G399" s="1"/>
      <c r="H399" s="1"/>
      <c r="I399" s="1"/>
      <c r="J399" s="6"/>
      <c r="K399" s="6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</row>
    <row r="400" spans="1:42" ht="13.5" customHeight="1">
      <c r="A400" s="1"/>
      <c r="B400" s="1"/>
      <c r="C400" s="3"/>
      <c r="D400" s="1"/>
      <c r="E400" s="1"/>
      <c r="F400" s="1"/>
      <c r="G400" s="1"/>
      <c r="H400" s="1"/>
      <c r="I400" s="1"/>
      <c r="J400" s="6"/>
      <c r="K400" s="6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</row>
    <row r="401" spans="1:42" ht="13.5" customHeight="1">
      <c r="A401" s="1"/>
      <c r="B401" s="1"/>
      <c r="C401" s="3"/>
      <c r="D401" s="1"/>
      <c r="E401" s="1"/>
      <c r="F401" s="1"/>
      <c r="G401" s="1"/>
      <c r="H401" s="1"/>
      <c r="I401" s="1"/>
      <c r="J401" s="6"/>
      <c r="K401" s="6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</row>
    <row r="402" spans="1:42" ht="13.5" customHeight="1">
      <c r="A402" s="1"/>
      <c r="B402" s="1"/>
      <c r="C402" s="3"/>
      <c r="D402" s="1"/>
      <c r="E402" s="1"/>
      <c r="F402" s="1"/>
      <c r="G402" s="1"/>
      <c r="H402" s="1"/>
      <c r="I402" s="1"/>
      <c r="J402" s="6"/>
      <c r="K402" s="6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</row>
    <row r="403" spans="1:42" ht="13.5" customHeight="1">
      <c r="A403" s="1"/>
      <c r="B403" s="1"/>
      <c r="C403" s="3"/>
      <c r="D403" s="1"/>
      <c r="E403" s="1"/>
      <c r="F403" s="1"/>
      <c r="G403" s="1"/>
      <c r="H403" s="1"/>
      <c r="I403" s="1"/>
      <c r="J403" s="6"/>
      <c r="K403" s="6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</row>
    <row r="404" spans="1:42" ht="13.5" customHeight="1">
      <c r="A404" s="1"/>
      <c r="B404" s="1"/>
      <c r="C404" s="3"/>
      <c r="D404" s="1"/>
      <c r="E404" s="1"/>
      <c r="F404" s="1"/>
      <c r="G404" s="1"/>
      <c r="H404" s="1"/>
      <c r="I404" s="1"/>
      <c r="J404" s="6"/>
      <c r="K404" s="6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</row>
    <row r="405" spans="1:42" ht="13.5" customHeight="1">
      <c r="A405" s="1"/>
      <c r="B405" s="1"/>
      <c r="C405" s="3"/>
      <c r="D405" s="1"/>
      <c r="E405" s="1"/>
      <c r="F405" s="1"/>
      <c r="G405" s="1"/>
      <c r="H405" s="1"/>
      <c r="I405" s="1"/>
      <c r="J405" s="6"/>
      <c r="K405" s="6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</row>
    <row r="406" spans="1:42" ht="13.5" customHeight="1">
      <c r="A406" s="1"/>
      <c r="B406" s="1"/>
      <c r="C406" s="3"/>
      <c r="D406" s="1"/>
      <c r="E406" s="1"/>
      <c r="F406" s="1"/>
      <c r="G406" s="1"/>
      <c r="H406" s="1"/>
      <c r="I406" s="1"/>
      <c r="J406" s="6"/>
      <c r="K406" s="6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</row>
    <row r="407" spans="1:42" ht="13.5" customHeight="1">
      <c r="A407" s="1"/>
      <c r="B407" s="1"/>
      <c r="C407" s="3"/>
      <c r="D407" s="1"/>
      <c r="E407" s="1"/>
      <c r="F407" s="1"/>
      <c r="G407" s="1"/>
      <c r="H407" s="1"/>
      <c r="I407" s="1"/>
      <c r="J407" s="6"/>
      <c r="K407" s="6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</row>
    <row r="408" spans="1:42" ht="13.5" customHeight="1">
      <c r="A408" s="1"/>
      <c r="B408" s="1"/>
      <c r="C408" s="3"/>
      <c r="D408" s="1"/>
      <c r="E408" s="1"/>
      <c r="F408" s="1"/>
      <c r="G408" s="1"/>
      <c r="H408" s="1"/>
      <c r="I408" s="1"/>
      <c r="J408" s="6"/>
      <c r="K408" s="6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</row>
    <row r="409" spans="1:42" ht="13.5" customHeight="1">
      <c r="A409" s="1"/>
      <c r="B409" s="1"/>
      <c r="C409" s="3"/>
      <c r="D409" s="1"/>
      <c r="E409" s="1"/>
      <c r="F409" s="1"/>
      <c r="G409" s="1"/>
      <c r="H409" s="1"/>
      <c r="I409" s="1"/>
      <c r="J409" s="6"/>
      <c r="K409" s="6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</row>
    <row r="410" spans="1:42" ht="13.5" customHeight="1">
      <c r="A410" s="1"/>
      <c r="B410" s="1"/>
      <c r="C410" s="3"/>
      <c r="D410" s="1"/>
      <c r="E410" s="1"/>
      <c r="F410" s="1"/>
      <c r="G410" s="1"/>
      <c r="H410" s="1"/>
      <c r="I410" s="1"/>
      <c r="J410" s="6"/>
      <c r="K410" s="6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</row>
    <row r="411" spans="1:42" ht="13.5" customHeight="1">
      <c r="A411" s="1"/>
      <c r="B411" s="1"/>
      <c r="C411" s="3"/>
      <c r="D411" s="1"/>
      <c r="E411" s="1"/>
      <c r="F411" s="1"/>
      <c r="G411" s="1"/>
      <c r="H411" s="1"/>
      <c r="I411" s="1"/>
      <c r="J411" s="6"/>
      <c r="K411" s="6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</row>
    <row r="412" spans="1:42" ht="13.5" customHeight="1">
      <c r="A412" s="1"/>
      <c r="B412" s="1"/>
      <c r="C412" s="3"/>
      <c r="D412" s="1"/>
      <c r="E412" s="1"/>
      <c r="F412" s="1"/>
      <c r="G412" s="1"/>
      <c r="H412" s="1"/>
      <c r="I412" s="1"/>
      <c r="J412" s="6"/>
      <c r="K412" s="6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</row>
    <row r="413" spans="1:42" ht="13.5" customHeight="1">
      <c r="A413" s="1"/>
      <c r="B413" s="1"/>
      <c r="C413" s="3"/>
      <c r="D413" s="1"/>
      <c r="E413" s="1"/>
      <c r="F413" s="1"/>
      <c r="G413" s="1"/>
      <c r="H413" s="1"/>
      <c r="I413" s="1"/>
      <c r="J413" s="6"/>
      <c r="K413" s="6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</row>
    <row r="414" spans="1:42" ht="13.5" customHeight="1">
      <c r="A414" s="1"/>
      <c r="B414" s="1"/>
      <c r="C414" s="3"/>
      <c r="D414" s="1"/>
      <c r="E414" s="1"/>
      <c r="F414" s="1"/>
      <c r="G414" s="1"/>
      <c r="H414" s="1"/>
      <c r="I414" s="1"/>
      <c r="J414" s="6"/>
      <c r="K414" s="6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</row>
    <row r="415" spans="1:42" ht="13.5" customHeight="1">
      <c r="A415" s="1"/>
      <c r="B415" s="1"/>
      <c r="C415" s="3"/>
      <c r="D415" s="1"/>
      <c r="E415" s="1"/>
      <c r="F415" s="1"/>
      <c r="G415" s="1"/>
      <c r="H415" s="1"/>
      <c r="I415" s="1"/>
      <c r="J415" s="6"/>
      <c r="K415" s="6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</row>
    <row r="416" spans="1:42" ht="13.5" customHeight="1">
      <c r="A416" s="1"/>
      <c r="B416" s="1"/>
      <c r="C416" s="3"/>
      <c r="D416" s="1"/>
      <c r="E416" s="1"/>
      <c r="F416" s="1"/>
      <c r="G416" s="1"/>
      <c r="H416" s="1"/>
      <c r="I416" s="1"/>
      <c r="J416" s="6"/>
      <c r="K416" s="6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</row>
    <row r="417" spans="1:42" ht="13.5" customHeight="1">
      <c r="A417" s="1"/>
      <c r="B417" s="1"/>
      <c r="C417" s="3"/>
      <c r="D417" s="1"/>
      <c r="E417" s="1"/>
      <c r="F417" s="1"/>
      <c r="G417" s="1"/>
      <c r="H417" s="1"/>
      <c r="I417" s="1"/>
      <c r="J417" s="6"/>
      <c r="K417" s="6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</row>
    <row r="418" spans="1:42" ht="13.5" customHeight="1">
      <c r="A418" s="1"/>
      <c r="B418" s="1"/>
      <c r="C418" s="3"/>
      <c r="D418" s="1"/>
      <c r="E418" s="1"/>
      <c r="F418" s="1"/>
      <c r="G418" s="1"/>
      <c r="H418" s="1"/>
      <c r="I418" s="1"/>
      <c r="J418" s="6"/>
      <c r="K418" s="6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</row>
    <row r="419" spans="1:42" ht="13.5" customHeight="1">
      <c r="A419" s="1"/>
      <c r="B419" s="1"/>
      <c r="C419" s="3"/>
      <c r="D419" s="1"/>
      <c r="E419" s="1"/>
      <c r="F419" s="1"/>
      <c r="G419" s="1"/>
      <c r="H419" s="1"/>
      <c r="I419" s="1"/>
      <c r="J419" s="6"/>
      <c r="K419" s="6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</row>
    <row r="420" spans="1:42" ht="13.5" customHeight="1">
      <c r="A420" s="1"/>
      <c r="B420" s="1"/>
      <c r="C420" s="3"/>
      <c r="D420" s="1"/>
      <c r="E420" s="1"/>
      <c r="F420" s="1"/>
      <c r="G420" s="1"/>
      <c r="H420" s="1"/>
      <c r="I420" s="1"/>
      <c r="J420" s="6"/>
      <c r="K420" s="6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</row>
    <row r="421" spans="1:42" ht="13.5" customHeight="1">
      <c r="A421" s="1"/>
      <c r="B421" s="1"/>
      <c r="C421" s="3"/>
      <c r="D421" s="1"/>
      <c r="E421" s="1"/>
      <c r="F421" s="1"/>
      <c r="G421" s="1"/>
      <c r="H421" s="1"/>
      <c r="I421" s="1"/>
      <c r="J421" s="6"/>
      <c r="K421" s="6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</row>
    <row r="422" spans="1:42" ht="13.5" customHeight="1">
      <c r="A422" s="1"/>
      <c r="B422" s="1"/>
      <c r="C422" s="3"/>
      <c r="D422" s="1"/>
      <c r="E422" s="1"/>
      <c r="F422" s="1"/>
      <c r="G422" s="1"/>
      <c r="H422" s="1"/>
      <c r="I422" s="1"/>
      <c r="J422" s="6"/>
      <c r="K422" s="6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</row>
    <row r="423" spans="1:42" ht="13.5" customHeight="1">
      <c r="A423" s="1"/>
      <c r="B423" s="1"/>
      <c r="C423" s="3"/>
      <c r="D423" s="1"/>
      <c r="E423" s="1"/>
      <c r="F423" s="1"/>
      <c r="G423" s="1"/>
      <c r="H423" s="1"/>
      <c r="I423" s="1"/>
      <c r="J423" s="6"/>
      <c r="K423" s="6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</row>
    <row r="424" spans="1:42" ht="13.5" customHeight="1">
      <c r="A424" s="1"/>
      <c r="B424" s="1"/>
      <c r="C424" s="3"/>
      <c r="D424" s="1"/>
      <c r="E424" s="1"/>
      <c r="F424" s="1"/>
      <c r="G424" s="1"/>
      <c r="H424" s="1"/>
      <c r="I424" s="1"/>
      <c r="J424" s="6"/>
      <c r="K424" s="6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</row>
    <row r="425" spans="1:42" ht="13.5" customHeight="1">
      <c r="A425" s="1"/>
      <c r="B425" s="1"/>
      <c r="C425" s="3"/>
      <c r="D425" s="1"/>
      <c r="E425" s="1"/>
      <c r="F425" s="1"/>
      <c r="G425" s="1"/>
      <c r="H425" s="1"/>
      <c r="I425" s="1"/>
      <c r="J425" s="6"/>
      <c r="K425" s="6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</row>
    <row r="426" spans="1:42" ht="13.5" customHeight="1">
      <c r="A426" s="1"/>
      <c r="B426" s="1"/>
      <c r="C426" s="3"/>
      <c r="D426" s="1"/>
      <c r="E426" s="1"/>
      <c r="F426" s="1"/>
      <c r="G426" s="1"/>
      <c r="H426" s="1"/>
      <c r="I426" s="1"/>
      <c r="J426" s="6"/>
      <c r="K426" s="6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</row>
    <row r="427" spans="1:42" ht="13.5" customHeight="1">
      <c r="A427" s="1"/>
      <c r="B427" s="1"/>
      <c r="C427" s="3"/>
      <c r="D427" s="1"/>
      <c r="E427" s="1"/>
      <c r="F427" s="1"/>
      <c r="G427" s="1"/>
      <c r="H427" s="1"/>
      <c r="I427" s="1"/>
      <c r="J427" s="6"/>
      <c r="K427" s="6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</row>
    <row r="428" spans="1:42" ht="13.5" customHeight="1">
      <c r="A428" s="1"/>
      <c r="B428" s="1"/>
      <c r="C428" s="3"/>
      <c r="D428" s="1"/>
      <c r="E428" s="1"/>
      <c r="F428" s="1"/>
      <c r="G428" s="1"/>
      <c r="H428" s="1"/>
      <c r="I428" s="1"/>
      <c r="J428" s="6"/>
      <c r="K428" s="6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</row>
    <row r="429" spans="1:42" ht="13.5" customHeight="1">
      <c r="A429" s="1"/>
      <c r="B429" s="1"/>
      <c r="C429" s="3"/>
      <c r="D429" s="1"/>
      <c r="E429" s="1"/>
      <c r="F429" s="1"/>
      <c r="G429" s="1"/>
      <c r="H429" s="1"/>
      <c r="I429" s="1"/>
      <c r="J429" s="6"/>
      <c r="K429" s="6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</row>
    <row r="430" spans="1:42" ht="13.5" customHeight="1">
      <c r="A430" s="1"/>
      <c r="B430" s="1"/>
      <c r="C430" s="3"/>
      <c r="D430" s="1"/>
      <c r="E430" s="1"/>
      <c r="F430" s="1"/>
      <c r="G430" s="1"/>
      <c r="H430" s="1"/>
      <c r="I430" s="1"/>
      <c r="J430" s="6"/>
      <c r="K430" s="6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</row>
    <row r="431" spans="1:42" ht="13.5" customHeight="1">
      <c r="A431" s="1"/>
      <c r="B431" s="1"/>
      <c r="C431" s="3"/>
      <c r="D431" s="1"/>
      <c r="E431" s="1"/>
      <c r="F431" s="1"/>
      <c r="G431" s="1"/>
      <c r="H431" s="1"/>
      <c r="I431" s="1"/>
      <c r="J431" s="6"/>
      <c r="K431" s="6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</row>
    <row r="432" spans="1:42" ht="13.5" customHeight="1">
      <c r="A432" s="1"/>
      <c r="B432" s="1"/>
      <c r="C432" s="3"/>
      <c r="D432" s="1"/>
      <c r="E432" s="1"/>
      <c r="F432" s="1"/>
      <c r="G432" s="1"/>
      <c r="H432" s="1"/>
      <c r="I432" s="1"/>
      <c r="J432" s="6"/>
      <c r="K432" s="6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</row>
    <row r="433" spans="1:42" ht="13.5" customHeight="1">
      <c r="A433" s="1"/>
      <c r="B433" s="1"/>
      <c r="C433" s="3"/>
      <c r="D433" s="1"/>
      <c r="E433" s="1"/>
      <c r="F433" s="1"/>
      <c r="G433" s="1"/>
      <c r="H433" s="1"/>
      <c r="I433" s="1"/>
      <c r="J433" s="6"/>
      <c r="K433" s="6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</row>
    <row r="434" spans="1:42" ht="13.5" customHeight="1">
      <c r="A434" s="1"/>
      <c r="B434" s="1"/>
      <c r="C434" s="3"/>
      <c r="D434" s="1"/>
      <c r="E434" s="1"/>
      <c r="F434" s="1"/>
      <c r="G434" s="1"/>
      <c r="H434" s="1"/>
      <c r="I434" s="1"/>
      <c r="J434" s="6"/>
      <c r="K434" s="6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</row>
    <row r="435" spans="1:42" ht="13.5" customHeight="1">
      <c r="A435" s="1"/>
      <c r="B435" s="1"/>
      <c r="C435" s="3"/>
      <c r="D435" s="1"/>
      <c r="E435" s="1"/>
      <c r="F435" s="1"/>
      <c r="G435" s="1"/>
      <c r="H435" s="1"/>
      <c r="I435" s="1"/>
      <c r="J435" s="6"/>
      <c r="K435" s="6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</row>
    <row r="436" spans="1:42" ht="13.5" customHeight="1">
      <c r="A436" s="1"/>
      <c r="B436" s="1"/>
      <c r="C436" s="3"/>
      <c r="D436" s="1"/>
      <c r="E436" s="1"/>
      <c r="F436" s="1"/>
      <c r="G436" s="1"/>
      <c r="H436" s="1"/>
      <c r="I436" s="1"/>
      <c r="J436" s="6"/>
      <c r="K436" s="6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</row>
    <row r="437" spans="1:42" ht="13.5" customHeight="1">
      <c r="A437" s="1"/>
      <c r="B437" s="1"/>
      <c r="C437" s="3"/>
      <c r="D437" s="1"/>
      <c r="E437" s="1"/>
      <c r="F437" s="1"/>
      <c r="G437" s="1"/>
      <c r="H437" s="1"/>
      <c r="I437" s="1"/>
      <c r="J437" s="6"/>
      <c r="K437" s="6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</row>
    <row r="438" spans="1:42" ht="13.5" customHeight="1">
      <c r="A438" s="1"/>
      <c r="B438" s="1"/>
      <c r="C438" s="3"/>
      <c r="D438" s="1"/>
      <c r="E438" s="1"/>
      <c r="F438" s="1"/>
      <c r="G438" s="1"/>
      <c r="H438" s="1"/>
      <c r="I438" s="1"/>
      <c r="J438" s="6"/>
      <c r="K438" s="6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</row>
    <row r="439" spans="1:42" ht="13.5" customHeight="1">
      <c r="A439" s="1"/>
      <c r="B439" s="1"/>
      <c r="C439" s="3"/>
      <c r="D439" s="1"/>
      <c r="E439" s="1"/>
      <c r="F439" s="1"/>
      <c r="G439" s="1"/>
      <c r="H439" s="1"/>
      <c r="I439" s="1"/>
      <c r="J439" s="6"/>
      <c r="K439" s="6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</row>
    <row r="440" spans="1:42" ht="13.5" customHeight="1">
      <c r="A440" s="1"/>
      <c r="B440" s="1"/>
      <c r="C440" s="3"/>
      <c r="D440" s="1"/>
      <c r="E440" s="1"/>
      <c r="F440" s="1"/>
      <c r="G440" s="1"/>
      <c r="H440" s="1"/>
      <c r="I440" s="1"/>
      <c r="J440" s="6"/>
      <c r="K440" s="6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</row>
    <row r="441" spans="1:42" ht="13.5" customHeight="1">
      <c r="A441" s="1"/>
      <c r="B441" s="1"/>
      <c r="C441" s="3"/>
      <c r="D441" s="1"/>
      <c r="E441" s="1"/>
      <c r="F441" s="1"/>
      <c r="G441" s="1"/>
      <c r="H441" s="1"/>
      <c r="I441" s="1"/>
      <c r="J441" s="6"/>
      <c r="K441" s="6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</row>
    <row r="442" spans="1:42" ht="13.5" customHeight="1">
      <c r="A442" s="1"/>
      <c r="B442" s="1"/>
      <c r="C442" s="3"/>
      <c r="D442" s="1"/>
      <c r="E442" s="1"/>
      <c r="F442" s="1"/>
      <c r="G442" s="1"/>
      <c r="H442" s="1"/>
      <c r="I442" s="1"/>
      <c r="J442" s="6"/>
      <c r="K442" s="6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</row>
    <row r="443" spans="1:42" ht="13.5" customHeight="1">
      <c r="A443" s="1"/>
      <c r="B443" s="1"/>
      <c r="C443" s="3"/>
      <c r="D443" s="1"/>
      <c r="E443" s="1"/>
      <c r="F443" s="1"/>
      <c r="G443" s="1"/>
      <c r="H443" s="1"/>
      <c r="I443" s="1"/>
      <c r="J443" s="6"/>
      <c r="K443" s="6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</row>
    <row r="444" spans="1:42" ht="13.5" customHeight="1">
      <c r="A444" s="1"/>
      <c r="B444" s="1"/>
      <c r="C444" s="3"/>
      <c r="D444" s="1"/>
      <c r="E444" s="1"/>
      <c r="F444" s="1"/>
      <c r="G444" s="1"/>
      <c r="H444" s="1"/>
      <c r="I444" s="1"/>
      <c r="J444" s="6"/>
      <c r="K444" s="6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</row>
    <row r="445" spans="1:42" ht="13.5" customHeight="1">
      <c r="A445" s="1"/>
      <c r="B445" s="1"/>
      <c r="C445" s="3"/>
      <c r="D445" s="1"/>
      <c r="E445" s="1"/>
      <c r="F445" s="1"/>
      <c r="G445" s="1"/>
      <c r="H445" s="1"/>
      <c r="I445" s="1"/>
      <c r="J445" s="6"/>
      <c r="K445" s="6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</row>
    <row r="446" spans="1:42" ht="13.5" customHeight="1">
      <c r="A446" s="1"/>
      <c r="B446" s="1"/>
      <c r="C446" s="3"/>
      <c r="D446" s="1"/>
      <c r="E446" s="1"/>
      <c r="F446" s="1"/>
      <c r="G446" s="1"/>
      <c r="H446" s="1"/>
      <c r="I446" s="1"/>
      <c r="J446" s="6"/>
      <c r="K446" s="6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</row>
    <row r="447" spans="1:42" ht="13.5" customHeight="1">
      <c r="A447" s="1"/>
      <c r="B447" s="1"/>
      <c r="C447" s="3"/>
      <c r="D447" s="1"/>
      <c r="E447" s="1"/>
      <c r="F447" s="1"/>
      <c r="G447" s="1"/>
      <c r="H447" s="1"/>
      <c r="I447" s="1"/>
      <c r="J447" s="6"/>
      <c r="K447" s="6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</row>
    <row r="448" spans="1:42" ht="13.5" customHeight="1">
      <c r="A448" s="1"/>
      <c r="B448" s="1"/>
      <c r="C448" s="3"/>
      <c r="D448" s="1"/>
      <c r="E448" s="1"/>
      <c r="F448" s="1"/>
      <c r="G448" s="1"/>
      <c r="H448" s="1"/>
      <c r="I448" s="1"/>
      <c r="J448" s="6"/>
      <c r="K448" s="6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</row>
    <row r="449" spans="1:42" ht="13.5" customHeight="1">
      <c r="A449" s="1"/>
      <c r="B449" s="1"/>
      <c r="C449" s="3"/>
      <c r="D449" s="1"/>
      <c r="E449" s="1"/>
      <c r="F449" s="1"/>
      <c r="G449" s="1"/>
      <c r="H449" s="1"/>
      <c r="I449" s="1"/>
      <c r="J449" s="6"/>
      <c r="K449" s="6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</row>
    <row r="450" spans="1:42" ht="13.5" customHeight="1">
      <c r="A450" s="1"/>
      <c r="B450" s="1"/>
      <c r="C450" s="3"/>
      <c r="D450" s="1"/>
      <c r="E450" s="1"/>
      <c r="F450" s="1"/>
      <c r="G450" s="1"/>
      <c r="H450" s="1"/>
      <c r="I450" s="1"/>
      <c r="J450" s="6"/>
      <c r="K450" s="6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</row>
    <row r="451" spans="1:42" ht="13.5" customHeight="1">
      <c r="A451" s="1"/>
      <c r="B451" s="1"/>
      <c r="C451" s="3"/>
      <c r="D451" s="1"/>
      <c r="E451" s="1"/>
      <c r="F451" s="1"/>
      <c r="G451" s="1"/>
      <c r="H451" s="1"/>
      <c r="I451" s="1"/>
      <c r="J451" s="6"/>
      <c r="K451" s="6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</row>
    <row r="452" spans="1:42" ht="13.5" customHeight="1">
      <c r="A452" s="1"/>
      <c r="B452" s="1"/>
      <c r="C452" s="3"/>
      <c r="D452" s="1"/>
      <c r="E452" s="1"/>
      <c r="F452" s="1"/>
      <c r="G452" s="1"/>
      <c r="H452" s="1"/>
      <c r="I452" s="1"/>
      <c r="J452" s="6"/>
      <c r="K452" s="6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</row>
    <row r="453" spans="1:42" ht="13.5" customHeight="1">
      <c r="A453" s="1"/>
      <c r="B453" s="1"/>
      <c r="C453" s="3"/>
      <c r="D453" s="1"/>
      <c r="E453" s="1"/>
      <c r="F453" s="1"/>
      <c r="G453" s="1"/>
      <c r="H453" s="1"/>
      <c r="I453" s="1"/>
      <c r="J453" s="6"/>
      <c r="K453" s="6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</row>
    <row r="454" spans="1:42" ht="13.5" customHeight="1">
      <c r="A454" s="1"/>
      <c r="B454" s="1"/>
      <c r="C454" s="3"/>
      <c r="D454" s="1"/>
      <c r="E454" s="1"/>
      <c r="F454" s="1"/>
      <c r="G454" s="1"/>
      <c r="H454" s="1"/>
      <c r="I454" s="1"/>
      <c r="J454" s="6"/>
      <c r="K454" s="6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</row>
    <row r="455" spans="1:42" ht="13.5" customHeight="1">
      <c r="A455" s="1"/>
      <c r="B455" s="1"/>
      <c r="C455" s="3"/>
      <c r="D455" s="1"/>
      <c r="E455" s="1"/>
      <c r="F455" s="1"/>
      <c r="G455" s="1"/>
      <c r="H455" s="1"/>
      <c r="I455" s="1"/>
      <c r="J455" s="6"/>
      <c r="K455" s="6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</row>
    <row r="456" spans="1:42" ht="13.5" customHeight="1">
      <c r="A456" s="1"/>
      <c r="B456" s="1"/>
      <c r="C456" s="3"/>
      <c r="D456" s="1"/>
      <c r="E456" s="1"/>
      <c r="F456" s="1"/>
      <c r="G456" s="1"/>
      <c r="H456" s="1"/>
      <c r="I456" s="1"/>
      <c r="J456" s="6"/>
      <c r="K456" s="6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</row>
    <row r="457" spans="1:42" ht="13.5" customHeight="1">
      <c r="A457" s="1"/>
      <c r="B457" s="1"/>
      <c r="C457" s="3"/>
      <c r="D457" s="1"/>
      <c r="E457" s="1"/>
      <c r="F457" s="1"/>
      <c r="G457" s="1"/>
      <c r="H457" s="1"/>
      <c r="I457" s="1"/>
      <c r="J457" s="6"/>
      <c r="K457" s="6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</row>
    <row r="458" spans="1:42" ht="13.5" customHeight="1">
      <c r="A458" s="1"/>
      <c r="B458" s="1"/>
      <c r="C458" s="3"/>
      <c r="D458" s="1"/>
      <c r="E458" s="1"/>
      <c r="F458" s="1"/>
      <c r="G458" s="1"/>
      <c r="H458" s="1"/>
      <c r="I458" s="1"/>
      <c r="J458" s="6"/>
      <c r="K458" s="6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</row>
    <row r="459" spans="1:42" ht="13.5" customHeight="1">
      <c r="A459" s="1"/>
      <c r="B459" s="1"/>
      <c r="C459" s="3"/>
      <c r="D459" s="1"/>
      <c r="E459" s="1"/>
      <c r="F459" s="1"/>
      <c r="G459" s="1"/>
      <c r="H459" s="1"/>
      <c r="I459" s="1"/>
      <c r="J459" s="6"/>
      <c r="K459" s="6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</row>
    <row r="460" spans="1:42" ht="13.5" customHeight="1">
      <c r="A460" s="1"/>
      <c r="B460" s="1"/>
      <c r="C460" s="3"/>
      <c r="D460" s="1"/>
      <c r="E460" s="1"/>
      <c r="F460" s="1"/>
      <c r="G460" s="1"/>
      <c r="H460" s="1"/>
      <c r="I460" s="1"/>
      <c r="J460" s="6"/>
      <c r="K460" s="6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</row>
    <row r="461" spans="1:42" ht="13.5" customHeight="1">
      <c r="A461" s="1"/>
      <c r="B461" s="1"/>
      <c r="C461" s="3"/>
      <c r="D461" s="1"/>
      <c r="E461" s="1"/>
      <c r="F461" s="1"/>
      <c r="G461" s="1"/>
      <c r="H461" s="1"/>
      <c r="I461" s="1"/>
      <c r="J461" s="6"/>
      <c r="K461" s="6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</row>
    <row r="462" spans="1:42" ht="13.5" customHeight="1">
      <c r="A462" s="1"/>
      <c r="B462" s="1"/>
      <c r="C462" s="3"/>
      <c r="D462" s="1"/>
      <c r="E462" s="1"/>
      <c r="F462" s="1"/>
      <c r="G462" s="1"/>
      <c r="H462" s="1"/>
      <c r="I462" s="1"/>
      <c r="J462" s="6"/>
      <c r="K462" s="6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</row>
    <row r="463" spans="1:42" ht="13.5" customHeight="1">
      <c r="A463" s="1"/>
      <c r="B463" s="1"/>
      <c r="C463" s="3"/>
      <c r="D463" s="1"/>
      <c r="E463" s="1"/>
      <c r="F463" s="1"/>
      <c r="G463" s="1"/>
      <c r="H463" s="1"/>
      <c r="I463" s="1"/>
      <c r="J463" s="6"/>
      <c r="K463" s="6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</row>
    <row r="464" spans="1:42" ht="13.5" customHeight="1">
      <c r="A464" s="1"/>
      <c r="B464" s="1"/>
      <c r="C464" s="3"/>
      <c r="D464" s="1"/>
      <c r="E464" s="1"/>
      <c r="F464" s="1"/>
      <c r="G464" s="1"/>
      <c r="H464" s="1"/>
      <c r="I464" s="1"/>
      <c r="J464" s="6"/>
      <c r="K464" s="6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</row>
    <row r="465" spans="1:42" ht="13.5" customHeight="1">
      <c r="A465" s="1"/>
      <c r="B465" s="1"/>
      <c r="C465" s="3"/>
      <c r="D465" s="1"/>
      <c r="E465" s="1"/>
      <c r="F465" s="1"/>
      <c r="G465" s="1"/>
      <c r="H465" s="1"/>
      <c r="I465" s="1"/>
      <c r="J465" s="6"/>
      <c r="K465" s="6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</row>
    <row r="466" spans="1:42" ht="13.5" customHeight="1">
      <c r="A466" s="1"/>
      <c r="B466" s="1"/>
      <c r="C466" s="3"/>
      <c r="D466" s="1"/>
      <c r="E466" s="1"/>
      <c r="F466" s="1"/>
      <c r="G466" s="1"/>
      <c r="H466" s="1"/>
      <c r="I466" s="1"/>
      <c r="J466" s="6"/>
      <c r="K466" s="6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</row>
    <row r="467" spans="1:42" ht="13.5" customHeight="1">
      <c r="A467" s="1"/>
      <c r="B467" s="1"/>
      <c r="C467" s="3"/>
      <c r="D467" s="1"/>
      <c r="E467" s="1"/>
      <c r="F467" s="1"/>
      <c r="G467" s="1"/>
      <c r="H467" s="1"/>
      <c r="I467" s="1"/>
      <c r="J467" s="6"/>
      <c r="K467" s="6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</row>
    <row r="468" spans="1:42" ht="13.5" customHeight="1">
      <c r="A468" s="1"/>
      <c r="B468" s="1"/>
      <c r="C468" s="3"/>
      <c r="D468" s="1"/>
      <c r="E468" s="1"/>
      <c r="F468" s="1"/>
      <c r="G468" s="1"/>
      <c r="H468" s="1"/>
      <c r="I468" s="1"/>
      <c r="J468" s="6"/>
      <c r="K468" s="6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</row>
    <row r="469" spans="1:42" ht="13.5" customHeight="1">
      <c r="A469" s="1"/>
      <c r="B469" s="1"/>
      <c r="C469" s="3"/>
      <c r="D469" s="1"/>
      <c r="E469" s="1"/>
      <c r="F469" s="1"/>
      <c r="G469" s="1"/>
      <c r="H469" s="1"/>
      <c r="I469" s="1"/>
      <c r="J469" s="6"/>
      <c r="K469" s="6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</row>
    <row r="470" spans="1:42" ht="13.5" customHeight="1">
      <c r="A470" s="1"/>
      <c r="B470" s="1"/>
      <c r="C470" s="3"/>
      <c r="D470" s="1"/>
      <c r="E470" s="1"/>
      <c r="F470" s="1"/>
      <c r="G470" s="1"/>
      <c r="H470" s="1"/>
      <c r="I470" s="1"/>
      <c r="J470" s="6"/>
      <c r="K470" s="6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</row>
    <row r="471" spans="1:42" ht="13.5" customHeight="1">
      <c r="A471" s="1"/>
      <c r="B471" s="1"/>
      <c r="C471" s="3"/>
      <c r="D471" s="1"/>
      <c r="E471" s="1"/>
      <c r="F471" s="1"/>
      <c r="G471" s="1"/>
      <c r="H471" s="1"/>
      <c r="I471" s="1"/>
      <c r="J471" s="6"/>
      <c r="K471" s="6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</row>
    <row r="472" spans="1:42" ht="13.5" customHeight="1">
      <c r="A472" s="1"/>
      <c r="B472" s="1"/>
      <c r="C472" s="3"/>
      <c r="D472" s="1"/>
      <c r="E472" s="1"/>
      <c r="F472" s="1"/>
      <c r="G472" s="1"/>
      <c r="H472" s="1"/>
      <c r="I472" s="1"/>
      <c r="J472" s="6"/>
      <c r="K472" s="6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</row>
    <row r="473" spans="1:42" ht="13.5" customHeight="1">
      <c r="A473" s="1"/>
      <c r="B473" s="1"/>
      <c r="C473" s="3"/>
      <c r="D473" s="1"/>
      <c r="E473" s="1"/>
      <c r="F473" s="1"/>
      <c r="G473" s="1"/>
      <c r="H473" s="1"/>
      <c r="I473" s="1"/>
      <c r="J473" s="6"/>
      <c r="K473" s="6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</row>
    <row r="474" spans="1:42" ht="13.5" customHeight="1">
      <c r="A474" s="1"/>
      <c r="B474" s="1"/>
      <c r="C474" s="3"/>
      <c r="D474" s="1"/>
      <c r="E474" s="1"/>
      <c r="F474" s="1"/>
      <c r="G474" s="1"/>
      <c r="H474" s="1"/>
      <c r="I474" s="1"/>
      <c r="J474" s="6"/>
      <c r="K474" s="6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</row>
    <row r="475" spans="1:42" ht="13.5" customHeight="1">
      <c r="A475" s="1"/>
      <c r="B475" s="1"/>
      <c r="C475" s="3"/>
      <c r="D475" s="1"/>
      <c r="E475" s="1"/>
      <c r="F475" s="1"/>
      <c r="G475" s="1"/>
      <c r="H475" s="1"/>
      <c r="I475" s="1"/>
      <c r="J475" s="6"/>
      <c r="K475" s="6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</row>
    <row r="476" spans="1:42" ht="13.5" customHeight="1">
      <c r="A476" s="1"/>
      <c r="B476" s="1"/>
      <c r="C476" s="3"/>
      <c r="D476" s="1"/>
      <c r="E476" s="1"/>
      <c r="F476" s="1"/>
      <c r="G476" s="1"/>
      <c r="H476" s="1"/>
      <c r="I476" s="1"/>
      <c r="J476" s="6"/>
      <c r="K476" s="6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</row>
    <row r="477" spans="1:42" ht="13.5" customHeight="1">
      <c r="A477" s="1"/>
      <c r="B477" s="1"/>
      <c r="C477" s="3"/>
      <c r="D477" s="1"/>
      <c r="E477" s="1"/>
      <c r="F477" s="1"/>
      <c r="G477" s="1"/>
      <c r="H477" s="1"/>
      <c r="I477" s="1"/>
      <c r="J477" s="6"/>
      <c r="K477" s="6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</row>
    <row r="478" spans="1:42" ht="13.5" customHeight="1">
      <c r="A478" s="1"/>
      <c r="B478" s="1"/>
      <c r="C478" s="3"/>
      <c r="D478" s="1"/>
      <c r="E478" s="1"/>
      <c r="F478" s="1"/>
      <c r="G478" s="1"/>
      <c r="H478" s="1"/>
      <c r="I478" s="1"/>
      <c r="J478" s="6"/>
      <c r="K478" s="6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</row>
    <row r="479" spans="1:42" ht="13.5" customHeight="1">
      <c r="A479" s="1"/>
      <c r="B479" s="1"/>
      <c r="C479" s="3"/>
      <c r="D479" s="1"/>
      <c r="E479" s="1"/>
      <c r="F479" s="1"/>
      <c r="G479" s="1"/>
      <c r="H479" s="1"/>
      <c r="I479" s="1"/>
      <c r="J479" s="6"/>
      <c r="K479" s="6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</row>
    <row r="480" spans="1:42" ht="13.5" customHeight="1">
      <c r="A480" s="1"/>
      <c r="B480" s="1"/>
      <c r="C480" s="3"/>
      <c r="D480" s="1"/>
      <c r="E480" s="1"/>
      <c r="F480" s="1"/>
      <c r="G480" s="1"/>
      <c r="H480" s="1"/>
      <c r="I480" s="1"/>
      <c r="J480" s="6"/>
      <c r="K480" s="6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</row>
    <row r="481" spans="1:42" ht="13.5" customHeight="1">
      <c r="A481" s="1"/>
      <c r="B481" s="1"/>
      <c r="C481" s="3"/>
      <c r="D481" s="1"/>
      <c r="E481" s="1"/>
      <c r="F481" s="1"/>
      <c r="G481" s="1"/>
      <c r="H481" s="1"/>
      <c r="I481" s="1"/>
      <c r="J481" s="6"/>
      <c r="K481" s="6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</row>
    <row r="482" spans="1:42" ht="13.5" customHeight="1">
      <c r="A482" s="1"/>
      <c r="B482" s="1"/>
      <c r="C482" s="3"/>
      <c r="D482" s="1"/>
      <c r="E482" s="1"/>
      <c r="F482" s="1"/>
      <c r="G482" s="1"/>
      <c r="H482" s="1"/>
      <c r="I482" s="1"/>
      <c r="J482" s="6"/>
      <c r="K482" s="6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</row>
    <row r="483" spans="1:42" ht="13.5" customHeight="1">
      <c r="A483" s="1"/>
      <c r="B483" s="1"/>
      <c r="C483" s="3"/>
      <c r="D483" s="1"/>
      <c r="E483" s="1"/>
      <c r="F483" s="1"/>
      <c r="G483" s="1"/>
      <c r="H483" s="1"/>
      <c r="I483" s="1"/>
      <c r="J483" s="6"/>
      <c r="K483" s="6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</row>
    <row r="484" spans="1:42" ht="13.5" customHeight="1">
      <c r="A484" s="1"/>
      <c r="B484" s="1"/>
      <c r="C484" s="3"/>
      <c r="D484" s="1"/>
      <c r="E484" s="1"/>
      <c r="F484" s="1"/>
      <c r="G484" s="1"/>
      <c r="H484" s="1"/>
      <c r="I484" s="1"/>
      <c r="J484" s="6"/>
      <c r="K484" s="6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</row>
    <row r="485" spans="1:42" ht="13.5" customHeight="1">
      <c r="A485" s="1"/>
      <c r="B485" s="1"/>
      <c r="C485" s="3"/>
      <c r="D485" s="1"/>
      <c r="E485" s="1"/>
      <c r="F485" s="1"/>
      <c r="G485" s="1"/>
      <c r="H485" s="1"/>
      <c r="I485" s="1"/>
      <c r="J485" s="6"/>
      <c r="K485" s="6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</row>
    <row r="486" spans="1:42" ht="13.5" customHeight="1">
      <c r="A486" s="1"/>
      <c r="B486" s="1"/>
      <c r="C486" s="3"/>
      <c r="D486" s="1"/>
      <c r="E486" s="1"/>
      <c r="F486" s="1"/>
      <c r="G486" s="1"/>
      <c r="H486" s="1"/>
      <c r="I486" s="1"/>
      <c r="J486" s="6"/>
      <c r="K486" s="6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</row>
    <row r="487" spans="1:42" ht="13.5" customHeight="1">
      <c r="A487" s="1"/>
      <c r="B487" s="1"/>
      <c r="C487" s="3"/>
      <c r="D487" s="1"/>
      <c r="E487" s="1"/>
      <c r="F487" s="1"/>
      <c r="G487" s="1"/>
      <c r="H487" s="1"/>
      <c r="I487" s="1"/>
      <c r="J487" s="6"/>
      <c r="K487" s="6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</row>
    <row r="488" spans="1:42" ht="13.5" customHeight="1">
      <c r="A488" s="1"/>
      <c r="B488" s="1"/>
      <c r="C488" s="3"/>
      <c r="D488" s="1"/>
      <c r="E488" s="1"/>
      <c r="F488" s="1"/>
      <c r="G488" s="1"/>
      <c r="H488" s="1"/>
      <c r="I488" s="1"/>
      <c r="J488" s="6"/>
      <c r="K488" s="6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</row>
    <row r="489" spans="1:42" ht="13.5" customHeight="1">
      <c r="A489" s="1"/>
      <c r="B489" s="1"/>
      <c r="C489" s="3"/>
      <c r="D489" s="1"/>
      <c r="E489" s="1"/>
      <c r="F489" s="1"/>
      <c r="G489" s="1"/>
      <c r="H489" s="1"/>
      <c r="I489" s="1"/>
      <c r="J489" s="6"/>
      <c r="K489" s="6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</row>
    <row r="490" spans="1:42" ht="13.5" customHeight="1">
      <c r="A490" s="1"/>
      <c r="B490" s="1"/>
      <c r="C490" s="3"/>
      <c r="D490" s="1"/>
      <c r="E490" s="1"/>
      <c r="F490" s="1"/>
      <c r="G490" s="1"/>
      <c r="H490" s="1"/>
      <c r="I490" s="1"/>
      <c r="J490" s="6"/>
      <c r="K490" s="6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</row>
    <row r="491" spans="1:42" ht="13.5" customHeight="1">
      <c r="A491" s="1"/>
      <c r="B491" s="1"/>
      <c r="C491" s="3"/>
      <c r="D491" s="1"/>
      <c r="E491" s="1"/>
      <c r="F491" s="1"/>
      <c r="G491" s="1"/>
      <c r="H491" s="1"/>
      <c r="I491" s="1"/>
      <c r="J491" s="6"/>
      <c r="K491" s="6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</row>
    <row r="492" spans="1:42" ht="13.5" customHeight="1">
      <c r="A492" s="1"/>
      <c r="B492" s="1"/>
      <c r="C492" s="3"/>
      <c r="D492" s="1"/>
      <c r="E492" s="1"/>
      <c r="F492" s="1"/>
      <c r="G492" s="1"/>
      <c r="H492" s="1"/>
      <c r="I492" s="1"/>
      <c r="J492" s="6"/>
      <c r="K492" s="6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</row>
    <row r="493" spans="1:42" ht="13.5" customHeight="1">
      <c r="A493" s="1"/>
      <c r="B493" s="1"/>
      <c r="C493" s="3"/>
      <c r="D493" s="1"/>
      <c r="E493" s="1"/>
      <c r="F493" s="1"/>
      <c r="G493" s="1"/>
      <c r="H493" s="1"/>
      <c r="I493" s="1"/>
      <c r="J493" s="6"/>
      <c r="K493" s="6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</row>
    <row r="494" spans="1:42" ht="13.5" customHeight="1">
      <c r="A494" s="1"/>
      <c r="B494" s="1"/>
      <c r="C494" s="3"/>
      <c r="D494" s="1"/>
      <c r="E494" s="1"/>
      <c r="F494" s="1"/>
      <c r="G494" s="1"/>
      <c r="H494" s="1"/>
      <c r="I494" s="1"/>
      <c r="J494" s="6"/>
      <c r="K494" s="6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</row>
    <row r="495" spans="1:42" ht="13.5" customHeight="1">
      <c r="A495" s="1"/>
      <c r="B495" s="1"/>
      <c r="C495" s="3"/>
      <c r="D495" s="1"/>
      <c r="E495" s="1"/>
      <c r="F495" s="1"/>
      <c r="G495" s="1"/>
      <c r="H495" s="1"/>
      <c r="I495" s="1"/>
      <c r="J495" s="6"/>
      <c r="K495" s="6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</row>
    <row r="496" spans="1:42" ht="13.5" customHeight="1">
      <c r="A496" s="1"/>
      <c r="B496" s="1"/>
      <c r="C496" s="3"/>
      <c r="D496" s="1"/>
      <c r="E496" s="1"/>
      <c r="F496" s="1"/>
      <c r="G496" s="1"/>
      <c r="H496" s="1"/>
      <c r="I496" s="1"/>
      <c r="J496" s="6"/>
      <c r="K496" s="6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</row>
    <row r="497" spans="1:42" ht="13.5" customHeight="1">
      <c r="A497" s="1"/>
      <c r="B497" s="1"/>
      <c r="C497" s="3"/>
      <c r="D497" s="1"/>
      <c r="E497" s="1"/>
      <c r="F497" s="1"/>
      <c r="G497" s="1"/>
      <c r="H497" s="1"/>
      <c r="I497" s="1"/>
      <c r="J497" s="6"/>
      <c r="K497" s="6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</row>
    <row r="498" spans="1:42" ht="13.5" customHeight="1">
      <c r="A498" s="1"/>
      <c r="B498" s="1"/>
      <c r="C498" s="3"/>
      <c r="D498" s="1"/>
      <c r="E498" s="1"/>
      <c r="F498" s="1"/>
      <c r="G498" s="1"/>
      <c r="H498" s="1"/>
      <c r="I498" s="1"/>
      <c r="J498" s="6"/>
      <c r="K498" s="6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</row>
    <row r="499" spans="1:42" ht="13.5" customHeight="1">
      <c r="A499" s="1"/>
      <c r="B499" s="1"/>
      <c r="C499" s="3"/>
      <c r="D499" s="1"/>
      <c r="E499" s="1"/>
      <c r="F499" s="1"/>
      <c r="G499" s="1"/>
      <c r="H499" s="1"/>
      <c r="I499" s="1"/>
      <c r="J499" s="6"/>
      <c r="K499" s="6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</row>
    <row r="500" spans="1:42" ht="13.5" customHeight="1">
      <c r="A500" s="1"/>
      <c r="B500" s="1"/>
      <c r="C500" s="3"/>
      <c r="D500" s="1"/>
      <c r="E500" s="1"/>
      <c r="F500" s="1"/>
      <c r="G500" s="1"/>
      <c r="H500" s="1"/>
      <c r="I500" s="1"/>
      <c r="J500" s="6"/>
      <c r="K500" s="6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</row>
    <row r="501" spans="1:42" ht="13.5" customHeight="1">
      <c r="A501" s="1"/>
      <c r="B501" s="1"/>
      <c r="C501" s="3"/>
      <c r="D501" s="1"/>
      <c r="E501" s="1"/>
      <c r="F501" s="1"/>
      <c r="G501" s="1"/>
      <c r="H501" s="1"/>
      <c r="I501" s="1"/>
      <c r="J501" s="6"/>
      <c r="K501" s="6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</row>
    <row r="502" spans="1:42" ht="13.5" customHeight="1">
      <c r="A502" s="1"/>
      <c r="B502" s="1"/>
      <c r="C502" s="3"/>
      <c r="D502" s="1"/>
      <c r="E502" s="1"/>
      <c r="F502" s="1"/>
      <c r="G502" s="1"/>
      <c r="H502" s="1"/>
      <c r="I502" s="1"/>
      <c r="J502" s="6"/>
      <c r="K502" s="6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</row>
    <row r="503" spans="1:42" ht="13.5" customHeight="1">
      <c r="A503" s="1"/>
      <c r="B503" s="1"/>
      <c r="C503" s="3"/>
      <c r="D503" s="1"/>
      <c r="E503" s="1"/>
      <c r="F503" s="1"/>
      <c r="G503" s="1"/>
      <c r="H503" s="1"/>
      <c r="I503" s="1"/>
      <c r="J503" s="6"/>
      <c r="K503" s="6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</row>
    <row r="504" spans="1:42" ht="13.5" customHeight="1">
      <c r="A504" s="1"/>
      <c r="B504" s="1"/>
      <c r="C504" s="3"/>
      <c r="D504" s="1"/>
      <c r="E504" s="1"/>
      <c r="F504" s="1"/>
      <c r="G504" s="1"/>
      <c r="H504" s="1"/>
      <c r="I504" s="1"/>
      <c r="J504" s="6"/>
      <c r="K504" s="6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</row>
    <row r="505" spans="1:42" ht="13.5" customHeight="1">
      <c r="A505" s="1"/>
      <c r="B505" s="1"/>
      <c r="C505" s="3"/>
      <c r="D505" s="1"/>
      <c r="E505" s="1"/>
      <c r="F505" s="1"/>
      <c r="G505" s="1"/>
      <c r="H505" s="1"/>
      <c r="I505" s="1"/>
      <c r="J505" s="6"/>
      <c r="K505" s="6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</row>
    <row r="506" spans="1:42" ht="13.5" customHeight="1">
      <c r="A506" s="1"/>
      <c r="B506" s="1"/>
      <c r="C506" s="3"/>
      <c r="D506" s="1"/>
      <c r="E506" s="1"/>
      <c r="F506" s="1"/>
      <c r="G506" s="1"/>
      <c r="H506" s="1"/>
      <c r="I506" s="1"/>
      <c r="J506" s="6"/>
      <c r="K506" s="6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</row>
    <row r="507" spans="1:42" ht="13.5" customHeight="1">
      <c r="A507" s="1"/>
      <c r="B507" s="1"/>
      <c r="C507" s="3"/>
      <c r="D507" s="1"/>
      <c r="E507" s="1"/>
      <c r="F507" s="1"/>
      <c r="G507" s="1"/>
      <c r="H507" s="1"/>
      <c r="I507" s="1"/>
      <c r="J507" s="6"/>
      <c r="K507" s="6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</row>
    <row r="508" spans="1:42" ht="13.5" customHeight="1">
      <c r="A508" s="1"/>
      <c r="B508" s="1"/>
      <c r="C508" s="3"/>
      <c r="D508" s="1"/>
      <c r="E508" s="1"/>
      <c r="F508" s="1"/>
      <c r="G508" s="1"/>
      <c r="H508" s="1"/>
      <c r="I508" s="1"/>
      <c r="J508" s="6"/>
      <c r="K508" s="6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</row>
    <row r="509" spans="1:42" ht="13.5" customHeight="1">
      <c r="A509" s="1"/>
      <c r="B509" s="1"/>
      <c r="C509" s="3"/>
      <c r="D509" s="1"/>
      <c r="E509" s="1"/>
      <c r="F509" s="1"/>
      <c r="G509" s="1"/>
      <c r="H509" s="1"/>
      <c r="I509" s="1"/>
      <c r="J509" s="6"/>
      <c r="K509" s="6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</row>
    <row r="510" spans="1:42" ht="13.5" customHeight="1">
      <c r="A510" s="1"/>
      <c r="B510" s="1"/>
      <c r="C510" s="3"/>
      <c r="D510" s="1"/>
      <c r="E510" s="1"/>
      <c r="F510" s="1"/>
      <c r="G510" s="1"/>
      <c r="H510" s="1"/>
      <c r="I510" s="1"/>
      <c r="J510" s="6"/>
      <c r="K510" s="6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</row>
    <row r="511" spans="1:42" ht="13.5" customHeight="1">
      <c r="A511" s="1"/>
      <c r="B511" s="1"/>
      <c r="C511" s="3"/>
      <c r="D511" s="1"/>
      <c r="E511" s="1"/>
      <c r="F511" s="1"/>
      <c r="G511" s="1"/>
      <c r="H511" s="1"/>
      <c r="I511" s="1"/>
      <c r="J511" s="6"/>
      <c r="K511" s="6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</row>
    <row r="512" spans="1:42" ht="13.5" customHeight="1">
      <c r="A512" s="1"/>
      <c r="B512" s="1"/>
      <c r="C512" s="3"/>
      <c r="D512" s="1"/>
      <c r="E512" s="1"/>
      <c r="F512" s="1"/>
      <c r="G512" s="1"/>
      <c r="H512" s="1"/>
      <c r="I512" s="1"/>
      <c r="J512" s="6"/>
      <c r="K512" s="6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</row>
    <row r="513" spans="1:42" ht="13.5" customHeight="1">
      <c r="A513" s="1"/>
      <c r="B513" s="1"/>
      <c r="C513" s="3"/>
      <c r="D513" s="1"/>
      <c r="E513" s="1"/>
      <c r="F513" s="1"/>
      <c r="G513" s="1"/>
      <c r="H513" s="1"/>
      <c r="I513" s="1"/>
      <c r="J513" s="6"/>
      <c r="K513" s="6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</row>
    <row r="514" spans="1:42" ht="13.5" customHeight="1">
      <c r="A514" s="1"/>
      <c r="B514" s="1"/>
      <c r="C514" s="3"/>
      <c r="D514" s="1"/>
      <c r="E514" s="1"/>
      <c r="F514" s="1"/>
      <c r="G514" s="1"/>
      <c r="H514" s="1"/>
      <c r="I514" s="1"/>
      <c r="J514" s="6"/>
      <c r="K514" s="6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</row>
    <row r="515" spans="1:42" ht="13.5" customHeight="1">
      <c r="A515" s="1"/>
      <c r="B515" s="1"/>
      <c r="C515" s="3"/>
      <c r="D515" s="1"/>
      <c r="E515" s="1"/>
      <c r="F515" s="1"/>
      <c r="G515" s="1"/>
      <c r="H515" s="1"/>
      <c r="I515" s="1"/>
      <c r="J515" s="6"/>
      <c r="K515" s="6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</row>
    <row r="516" spans="1:42" ht="13.5" customHeight="1">
      <c r="A516" s="1"/>
      <c r="B516" s="1"/>
      <c r="C516" s="3"/>
      <c r="D516" s="1"/>
      <c r="E516" s="1"/>
      <c r="F516" s="1"/>
      <c r="G516" s="1"/>
      <c r="H516" s="1"/>
      <c r="I516" s="1"/>
      <c r="J516" s="6"/>
      <c r="K516" s="6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</row>
    <row r="517" spans="1:42" ht="13.5" customHeight="1">
      <c r="A517" s="1"/>
      <c r="B517" s="1"/>
      <c r="C517" s="3"/>
      <c r="D517" s="1"/>
      <c r="E517" s="1"/>
      <c r="F517" s="1"/>
      <c r="G517" s="1"/>
      <c r="H517" s="1"/>
      <c r="I517" s="1"/>
      <c r="J517" s="6"/>
      <c r="K517" s="6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</row>
    <row r="518" spans="1:42" ht="13.5" customHeight="1">
      <c r="A518" s="1"/>
      <c r="B518" s="1"/>
      <c r="C518" s="3"/>
      <c r="D518" s="1"/>
      <c r="E518" s="1"/>
      <c r="F518" s="1"/>
      <c r="G518" s="1"/>
      <c r="H518" s="1"/>
      <c r="I518" s="1"/>
      <c r="J518" s="6"/>
      <c r="K518" s="6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</row>
    <row r="519" spans="1:42" ht="13.5" customHeight="1">
      <c r="A519" s="1"/>
      <c r="B519" s="1"/>
      <c r="C519" s="3"/>
      <c r="D519" s="1"/>
      <c r="E519" s="1"/>
      <c r="F519" s="1"/>
      <c r="G519" s="1"/>
      <c r="H519" s="1"/>
      <c r="I519" s="1"/>
      <c r="J519" s="6"/>
      <c r="K519" s="6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</row>
    <row r="520" spans="1:42" ht="13.5" customHeight="1">
      <c r="A520" s="1"/>
      <c r="B520" s="1"/>
      <c r="C520" s="3"/>
      <c r="D520" s="1"/>
      <c r="E520" s="1"/>
      <c r="F520" s="1"/>
      <c r="G520" s="1"/>
      <c r="H520" s="1"/>
      <c r="I520" s="1"/>
      <c r="J520" s="6"/>
      <c r="K520" s="6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</row>
    <row r="521" spans="1:42" ht="13.5" customHeight="1">
      <c r="A521" s="1"/>
      <c r="B521" s="1"/>
      <c r="C521" s="3"/>
      <c r="D521" s="1"/>
      <c r="E521" s="1"/>
      <c r="F521" s="1"/>
      <c r="G521" s="1"/>
      <c r="H521" s="1"/>
      <c r="I521" s="1"/>
      <c r="J521" s="6"/>
      <c r="K521" s="6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</row>
    <row r="522" spans="1:42" ht="13.5" customHeight="1">
      <c r="A522" s="1"/>
      <c r="B522" s="1"/>
      <c r="C522" s="3"/>
      <c r="D522" s="1"/>
      <c r="E522" s="1"/>
      <c r="F522" s="1"/>
      <c r="G522" s="1"/>
      <c r="H522" s="1"/>
      <c r="I522" s="1"/>
      <c r="J522" s="6"/>
      <c r="K522" s="6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</row>
    <row r="523" spans="1:42" ht="13.5" customHeight="1">
      <c r="A523" s="1"/>
      <c r="B523" s="1"/>
      <c r="C523" s="3"/>
      <c r="D523" s="1"/>
      <c r="E523" s="1"/>
      <c r="F523" s="1"/>
      <c r="G523" s="1"/>
      <c r="H523" s="1"/>
      <c r="I523" s="1"/>
      <c r="J523" s="6"/>
      <c r="K523" s="6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</row>
    <row r="524" spans="1:42" ht="13.5" customHeight="1">
      <c r="A524" s="1"/>
      <c r="B524" s="1"/>
      <c r="C524" s="3"/>
      <c r="D524" s="1"/>
      <c r="E524" s="1"/>
      <c r="F524" s="1"/>
      <c r="G524" s="1"/>
      <c r="H524" s="1"/>
      <c r="I524" s="1"/>
      <c r="J524" s="6"/>
      <c r="K524" s="6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</row>
    <row r="525" spans="1:42" ht="13.5" customHeight="1">
      <c r="A525" s="1"/>
      <c r="B525" s="1"/>
      <c r="C525" s="3"/>
      <c r="D525" s="1"/>
      <c r="E525" s="1"/>
      <c r="F525" s="1"/>
      <c r="G525" s="1"/>
      <c r="H525" s="1"/>
      <c r="I525" s="1"/>
      <c r="J525" s="6"/>
      <c r="K525" s="6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</row>
    <row r="526" spans="1:42" ht="13.5" customHeight="1">
      <c r="A526" s="1"/>
      <c r="B526" s="1"/>
      <c r="C526" s="3"/>
      <c r="D526" s="1"/>
      <c r="E526" s="1"/>
      <c r="F526" s="1"/>
      <c r="G526" s="1"/>
      <c r="H526" s="1"/>
      <c r="I526" s="1"/>
      <c r="J526" s="6"/>
      <c r="K526" s="6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</row>
    <row r="527" spans="1:42" ht="13.5" customHeight="1">
      <c r="A527" s="1"/>
      <c r="B527" s="1"/>
      <c r="C527" s="3"/>
      <c r="D527" s="1"/>
      <c r="E527" s="1"/>
      <c r="F527" s="1"/>
      <c r="G527" s="1"/>
      <c r="H527" s="1"/>
      <c r="I527" s="1"/>
      <c r="J527" s="6"/>
      <c r="K527" s="6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</row>
    <row r="528" spans="1:42" ht="13.5" customHeight="1">
      <c r="A528" s="1"/>
      <c r="B528" s="1"/>
      <c r="C528" s="3"/>
      <c r="D528" s="1"/>
      <c r="E528" s="1"/>
      <c r="F528" s="1"/>
      <c r="G528" s="1"/>
      <c r="H528" s="1"/>
      <c r="I528" s="1"/>
      <c r="J528" s="6"/>
      <c r="K528" s="6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</row>
    <row r="529" spans="1:42" ht="13.5" customHeight="1">
      <c r="A529" s="1"/>
      <c r="B529" s="1"/>
      <c r="C529" s="3"/>
      <c r="D529" s="1"/>
      <c r="E529" s="1"/>
      <c r="F529" s="1"/>
      <c r="G529" s="1"/>
      <c r="H529" s="1"/>
      <c r="I529" s="1"/>
      <c r="J529" s="6"/>
      <c r="K529" s="6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</row>
    <row r="530" spans="1:42" ht="13.5" customHeight="1">
      <c r="A530" s="1"/>
      <c r="B530" s="1"/>
      <c r="C530" s="3"/>
      <c r="D530" s="1"/>
      <c r="E530" s="1"/>
      <c r="F530" s="1"/>
      <c r="G530" s="1"/>
      <c r="H530" s="1"/>
      <c r="I530" s="1"/>
      <c r="J530" s="6"/>
      <c r="K530" s="6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</row>
    <row r="531" spans="1:42" ht="13.5" customHeight="1">
      <c r="A531" s="1"/>
      <c r="B531" s="1"/>
      <c r="C531" s="3"/>
      <c r="D531" s="1"/>
      <c r="E531" s="1"/>
      <c r="F531" s="1"/>
      <c r="G531" s="1"/>
      <c r="H531" s="1"/>
      <c r="I531" s="1"/>
      <c r="J531" s="6"/>
      <c r="K531" s="6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</row>
    <row r="532" spans="1:42" ht="13.5" customHeight="1">
      <c r="A532" s="1"/>
      <c r="B532" s="1"/>
      <c r="C532" s="3"/>
      <c r="D532" s="1"/>
      <c r="E532" s="1"/>
      <c r="F532" s="1"/>
      <c r="G532" s="1"/>
      <c r="H532" s="1"/>
      <c r="I532" s="1"/>
      <c r="J532" s="6"/>
      <c r="K532" s="6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</row>
    <row r="533" spans="1:42" ht="13.5" customHeight="1">
      <c r="A533" s="1"/>
      <c r="B533" s="1"/>
      <c r="C533" s="3"/>
      <c r="D533" s="1"/>
      <c r="E533" s="1"/>
      <c r="F533" s="1"/>
      <c r="G533" s="1"/>
      <c r="H533" s="1"/>
      <c r="I533" s="1"/>
      <c r="J533" s="6"/>
      <c r="K533" s="6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</row>
    <row r="534" spans="1:42" ht="13.5" customHeight="1">
      <c r="A534" s="1"/>
      <c r="B534" s="1"/>
      <c r="C534" s="3"/>
      <c r="D534" s="1"/>
      <c r="E534" s="1"/>
      <c r="F534" s="1"/>
      <c r="G534" s="1"/>
      <c r="H534" s="1"/>
      <c r="I534" s="1"/>
      <c r="J534" s="6"/>
      <c r="K534" s="6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</row>
    <row r="535" spans="1:42" ht="13.5" customHeight="1">
      <c r="A535" s="1"/>
      <c r="B535" s="1"/>
      <c r="C535" s="3"/>
      <c r="D535" s="1"/>
      <c r="E535" s="1"/>
      <c r="F535" s="1"/>
      <c r="G535" s="1"/>
      <c r="H535" s="1"/>
      <c r="I535" s="1"/>
      <c r="J535" s="6"/>
      <c r="K535" s="6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</row>
    <row r="536" spans="1:42" ht="13.5" customHeight="1">
      <c r="A536" s="1"/>
      <c r="B536" s="1"/>
      <c r="C536" s="3"/>
      <c r="D536" s="1"/>
      <c r="E536" s="1"/>
      <c r="F536" s="1"/>
      <c r="G536" s="1"/>
      <c r="H536" s="1"/>
      <c r="I536" s="1"/>
      <c r="J536" s="6"/>
      <c r="K536" s="6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</row>
    <row r="537" spans="1:42" ht="13.5" customHeight="1">
      <c r="A537" s="1"/>
      <c r="B537" s="1"/>
      <c r="C537" s="3"/>
      <c r="D537" s="1"/>
      <c r="E537" s="1"/>
      <c r="F537" s="1"/>
      <c r="G537" s="1"/>
      <c r="H537" s="1"/>
      <c r="I537" s="1"/>
      <c r="J537" s="6"/>
      <c r="K537" s="6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</row>
    <row r="538" spans="1:42" ht="13.5" customHeight="1">
      <c r="A538" s="1"/>
      <c r="B538" s="1"/>
      <c r="C538" s="3"/>
      <c r="D538" s="1"/>
      <c r="E538" s="1"/>
      <c r="F538" s="1"/>
      <c r="G538" s="1"/>
      <c r="H538" s="1"/>
      <c r="I538" s="1"/>
      <c r="J538" s="6"/>
      <c r="K538" s="6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</row>
    <row r="539" spans="1:42" ht="13.5" customHeight="1">
      <c r="A539" s="1"/>
      <c r="B539" s="1"/>
      <c r="C539" s="3"/>
      <c r="D539" s="1"/>
      <c r="E539" s="1"/>
      <c r="F539" s="1"/>
      <c r="G539" s="1"/>
      <c r="H539" s="1"/>
      <c r="I539" s="1"/>
      <c r="J539" s="6"/>
      <c r="K539" s="6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</row>
    <row r="540" spans="1:42" ht="13.5" customHeight="1">
      <c r="A540" s="1"/>
      <c r="B540" s="1"/>
      <c r="C540" s="3"/>
      <c r="D540" s="1"/>
      <c r="E540" s="1"/>
      <c r="F540" s="1"/>
      <c r="G540" s="1"/>
      <c r="H540" s="1"/>
      <c r="I540" s="1"/>
      <c r="J540" s="6"/>
      <c r="K540" s="6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</row>
    <row r="541" spans="1:42" ht="13.5" customHeight="1">
      <c r="A541" s="1"/>
      <c r="B541" s="1"/>
      <c r="C541" s="3"/>
      <c r="D541" s="1"/>
      <c r="E541" s="1"/>
      <c r="F541" s="1"/>
      <c r="G541" s="1"/>
      <c r="H541" s="1"/>
      <c r="I541" s="1"/>
      <c r="J541" s="6"/>
      <c r="K541" s="6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</row>
    <row r="542" spans="1:42" ht="13.5" customHeight="1">
      <c r="A542" s="1"/>
      <c r="B542" s="1"/>
      <c r="C542" s="3"/>
      <c r="D542" s="1"/>
      <c r="E542" s="1"/>
      <c r="F542" s="1"/>
      <c r="G542" s="1"/>
      <c r="H542" s="1"/>
      <c r="I542" s="1"/>
      <c r="J542" s="6"/>
      <c r="K542" s="6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</row>
    <row r="543" spans="1:42" ht="13.5" customHeight="1">
      <c r="A543" s="1"/>
      <c r="B543" s="1"/>
      <c r="C543" s="3"/>
      <c r="D543" s="1"/>
      <c r="E543" s="1"/>
      <c r="F543" s="1"/>
      <c r="G543" s="1"/>
      <c r="H543" s="1"/>
      <c r="I543" s="1"/>
      <c r="J543" s="6"/>
      <c r="K543" s="6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</row>
    <row r="544" spans="1:42" ht="13.5" customHeight="1">
      <c r="A544" s="1"/>
      <c r="B544" s="1"/>
      <c r="C544" s="3"/>
      <c r="D544" s="1"/>
      <c r="E544" s="1"/>
      <c r="F544" s="1"/>
      <c r="G544" s="1"/>
      <c r="H544" s="1"/>
      <c r="I544" s="1"/>
      <c r="J544" s="6"/>
      <c r="K544" s="6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</row>
    <row r="545" spans="1:42" ht="13.5" customHeight="1">
      <c r="A545" s="1"/>
      <c r="B545" s="1"/>
      <c r="C545" s="3"/>
      <c r="D545" s="1"/>
      <c r="E545" s="1"/>
      <c r="F545" s="1"/>
      <c r="G545" s="1"/>
      <c r="H545" s="1"/>
      <c r="I545" s="1"/>
      <c r="J545" s="6"/>
      <c r="K545" s="6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</row>
    <row r="546" spans="1:42" ht="13.5" customHeight="1">
      <c r="A546" s="1"/>
      <c r="B546" s="1"/>
      <c r="C546" s="26"/>
      <c r="D546" s="1"/>
      <c r="E546" s="1"/>
      <c r="F546" s="1"/>
      <c r="G546" s="1"/>
      <c r="H546" s="1"/>
      <c r="I546" s="1"/>
      <c r="J546" s="6"/>
      <c r="K546" s="6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</row>
    <row r="547" spans="1:42" ht="13.5" customHeight="1">
      <c r="A547" s="1"/>
      <c r="B547" s="1"/>
      <c r="C547" s="26"/>
      <c r="D547" s="1"/>
      <c r="E547" s="1"/>
      <c r="F547" s="1"/>
      <c r="G547" s="1"/>
      <c r="H547" s="1"/>
      <c r="I547" s="1"/>
      <c r="J547" s="6"/>
      <c r="K547" s="6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</row>
    <row r="548" spans="1:42" ht="13.5" customHeight="1">
      <c r="A548" s="1"/>
      <c r="B548" s="1"/>
      <c r="C548" s="26"/>
      <c r="D548" s="1"/>
      <c r="E548" s="1"/>
      <c r="F548" s="1"/>
      <c r="G548" s="1"/>
      <c r="H548" s="1"/>
      <c r="I548" s="1"/>
      <c r="J548" s="6"/>
      <c r="K548" s="6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</row>
    <row r="549" spans="1:42" ht="13.5" customHeight="1">
      <c r="A549" s="1"/>
      <c r="B549" s="1"/>
      <c r="C549" s="26"/>
      <c r="D549" s="1"/>
      <c r="E549" s="1"/>
      <c r="F549" s="1"/>
      <c r="G549" s="1"/>
      <c r="H549" s="1"/>
      <c r="I549" s="1"/>
      <c r="J549" s="6"/>
      <c r="K549" s="6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</row>
    <row r="550" spans="1:42" ht="13.5" customHeight="1">
      <c r="A550" s="1"/>
      <c r="B550" s="1"/>
      <c r="C550" s="26"/>
      <c r="D550" s="1"/>
      <c r="E550" s="1"/>
      <c r="F550" s="1"/>
      <c r="G550" s="1"/>
      <c r="H550" s="1"/>
      <c r="I550" s="1"/>
      <c r="J550" s="6"/>
      <c r="K550" s="6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</row>
    <row r="551" spans="1:42" ht="13.5" customHeight="1">
      <c r="A551" s="1"/>
      <c r="B551" s="1"/>
      <c r="C551" s="26"/>
      <c r="D551" s="1"/>
      <c r="E551" s="1"/>
      <c r="F551" s="1"/>
      <c r="G551" s="1"/>
      <c r="H551" s="1"/>
      <c r="I551" s="1"/>
      <c r="J551" s="6"/>
      <c r="K551" s="6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</row>
    <row r="552" spans="1:42" ht="13.5" customHeight="1">
      <c r="A552" s="1"/>
      <c r="B552" s="1"/>
      <c r="C552" s="26"/>
      <c r="D552" s="1"/>
      <c r="E552" s="1"/>
      <c r="F552" s="1"/>
      <c r="G552" s="1"/>
      <c r="H552" s="1"/>
      <c r="I552" s="1"/>
      <c r="J552" s="6"/>
      <c r="K552" s="6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</row>
    <row r="553" spans="1:42" ht="13.5" customHeight="1">
      <c r="A553" s="1"/>
      <c r="B553" s="1"/>
      <c r="C553" s="26"/>
      <c r="D553" s="1"/>
      <c r="E553" s="1"/>
      <c r="F553" s="1"/>
      <c r="G553" s="1"/>
      <c r="H553" s="1"/>
      <c r="I553" s="1"/>
      <c r="J553" s="6"/>
      <c r="K553" s="6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</row>
    <row r="554" spans="1:42" ht="13.5" customHeight="1">
      <c r="A554" s="1"/>
      <c r="B554" s="1"/>
      <c r="C554" s="26"/>
      <c r="D554" s="1"/>
      <c r="E554" s="1"/>
      <c r="F554" s="1"/>
      <c r="G554" s="1"/>
      <c r="H554" s="1"/>
      <c r="I554" s="1"/>
      <c r="J554" s="6"/>
      <c r="K554" s="6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</row>
    <row r="555" spans="1:42" ht="13.5" customHeight="1">
      <c r="A555" s="1"/>
      <c r="B555" s="1"/>
      <c r="C555" s="26"/>
      <c r="D555" s="1"/>
      <c r="E555" s="1"/>
      <c r="F555" s="1"/>
      <c r="G555" s="1"/>
      <c r="H555" s="1"/>
      <c r="I555" s="1"/>
      <c r="J555" s="6"/>
      <c r="K555" s="6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</row>
    <row r="556" spans="1:42" ht="13.5" customHeight="1">
      <c r="A556" s="1"/>
      <c r="B556" s="1"/>
      <c r="C556" s="26"/>
      <c r="D556" s="1"/>
      <c r="E556" s="1"/>
      <c r="F556" s="1"/>
      <c r="G556" s="1"/>
      <c r="H556" s="1"/>
      <c r="I556" s="1"/>
      <c r="J556" s="6"/>
      <c r="K556" s="6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</row>
    <row r="557" spans="1:42" ht="13.5" customHeight="1">
      <c r="A557" s="1"/>
      <c r="B557" s="1"/>
      <c r="C557" s="26"/>
      <c r="D557" s="1"/>
      <c r="E557" s="1"/>
      <c r="F557" s="1"/>
      <c r="G557" s="1"/>
      <c r="H557" s="1"/>
      <c r="I557" s="1"/>
      <c r="J557" s="6"/>
      <c r="K557" s="6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</row>
    <row r="558" spans="1:42" ht="13.5" customHeight="1">
      <c r="A558" s="1"/>
      <c r="B558" s="1"/>
      <c r="C558" s="26"/>
      <c r="D558" s="1"/>
      <c r="E558" s="1"/>
      <c r="F558" s="1"/>
      <c r="G558" s="1"/>
      <c r="H558" s="1"/>
      <c r="I558" s="1"/>
      <c r="J558" s="6"/>
      <c r="K558" s="6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</row>
    <row r="559" spans="1:42" ht="13.5" customHeight="1">
      <c r="A559" s="1"/>
      <c r="B559" s="1"/>
      <c r="C559" s="26"/>
      <c r="D559" s="1"/>
      <c r="E559" s="1"/>
      <c r="F559" s="1"/>
      <c r="G559" s="1"/>
      <c r="H559" s="1"/>
      <c r="I559" s="1"/>
      <c r="J559" s="6"/>
      <c r="K559" s="6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</row>
    <row r="560" spans="1:42" ht="13.5" customHeight="1">
      <c r="A560" s="1"/>
      <c r="B560" s="1"/>
      <c r="C560" s="26"/>
      <c r="D560" s="1"/>
      <c r="E560" s="1"/>
      <c r="F560" s="1"/>
      <c r="G560" s="1"/>
      <c r="H560" s="1"/>
      <c r="I560" s="1"/>
      <c r="J560" s="6"/>
      <c r="K560" s="6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</row>
    <row r="561" spans="1:42" ht="13.5" customHeight="1">
      <c r="A561" s="1"/>
      <c r="B561" s="1"/>
      <c r="C561" s="26"/>
      <c r="D561" s="1"/>
      <c r="E561" s="1"/>
      <c r="F561" s="1"/>
      <c r="G561" s="1"/>
      <c r="H561" s="1"/>
      <c r="I561" s="1"/>
      <c r="J561" s="6"/>
      <c r="K561" s="6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</row>
    <row r="562" spans="1:42" ht="13.5" customHeight="1">
      <c r="A562" s="1"/>
      <c r="B562" s="1"/>
      <c r="C562" s="26"/>
      <c r="D562" s="1"/>
      <c r="E562" s="1"/>
      <c r="F562" s="1"/>
      <c r="G562" s="1"/>
      <c r="H562" s="1"/>
      <c r="I562" s="1"/>
      <c r="J562" s="6"/>
      <c r="K562" s="6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</row>
    <row r="563" spans="1:42" ht="13.5" customHeight="1">
      <c r="A563" s="1"/>
      <c r="B563" s="1"/>
      <c r="C563" s="26"/>
      <c r="D563" s="1"/>
      <c r="E563" s="1"/>
      <c r="F563" s="1"/>
      <c r="G563" s="1"/>
      <c r="H563" s="1"/>
      <c r="I563" s="1"/>
      <c r="J563" s="6"/>
      <c r="K563" s="6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</row>
    <row r="564" spans="1:42" ht="13.5" customHeight="1">
      <c r="A564" s="1"/>
      <c r="B564" s="1"/>
      <c r="C564" s="26"/>
      <c r="D564" s="1"/>
      <c r="E564" s="1"/>
      <c r="F564" s="1"/>
      <c r="G564" s="1"/>
      <c r="H564" s="1"/>
      <c r="I564" s="1"/>
      <c r="J564" s="6"/>
      <c r="K564" s="6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</row>
    <row r="565" spans="1:42" ht="13.5" customHeight="1">
      <c r="A565" s="1"/>
      <c r="B565" s="1"/>
      <c r="C565" s="26"/>
      <c r="D565" s="1"/>
      <c r="E565" s="1"/>
      <c r="F565" s="1"/>
      <c r="G565" s="1"/>
      <c r="H565" s="1"/>
      <c r="I565" s="1"/>
      <c r="J565" s="6"/>
      <c r="K565" s="6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</row>
    <row r="566" spans="1:42" ht="13.5" customHeight="1">
      <c r="A566" s="1"/>
      <c r="B566" s="1"/>
      <c r="C566" s="26"/>
      <c r="D566" s="1"/>
      <c r="E566" s="1"/>
      <c r="F566" s="1"/>
      <c r="G566" s="1"/>
      <c r="H566" s="1"/>
      <c r="I566" s="1"/>
      <c r="J566" s="6"/>
      <c r="K566" s="6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</row>
    <row r="567" spans="1:42" ht="13.5" customHeight="1">
      <c r="A567" s="1"/>
      <c r="B567" s="1"/>
      <c r="C567" s="26"/>
      <c r="D567" s="1"/>
      <c r="E567" s="1"/>
      <c r="F567" s="1"/>
      <c r="G567" s="1"/>
      <c r="H567" s="1"/>
      <c r="I567" s="1"/>
      <c r="J567" s="6"/>
      <c r="K567" s="6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</row>
    <row r="568" spans="1:42" ht="13.5" customHeight="1">
      <c r="A568" s="1"/>
      <c r="B568" s="1"/>
      <c r="C568" s="26"/>
      <c r="D568" s="1"/>
      <c r="E568" s="1"/>
      <c r="F568" s="1"/>
      <c r="G568" s="1"/>
      <c r="H568" s="1"/>
      <c r="I568" s="1"/>
      <c r="J568" s="6"/>
      <c r="K568" s="6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</row>
    <row r="569" spans="1:42" ht="13.5" customHeight="1">
      <c r="A569" s="1"/>
      <c r="B569" s="1"/>
      <c r="C569" s="26"/>
      <c r="D569" s="1"/>
      <c r="E569" s="1"/>
      <c r="F569" s="1"/>
      <c r="G569" s="1"/>
      <c r="H569" s="1"/>
      <c r="I569" s="1"/>
      <c r="J569" s="6"/>
      <c r="K569" s="6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</row>
    <row r="570" spans="1:42" ht="13.5" customHeight="1">
      <c r="A570" s="1"/>
      <c r="B570" s="1"/>
      <c r="C570" s="26"/>
      <c r="D570" s="1"/>
      <c r="E570" s="1"/>
      <c r="F570" s="1"/>
      <c r="G570" s="1"/>
      <c r="H570" s="1"/>
      <c r="I570" s="1"/>
      <c r="J570" s="6"/>
      <c r="K570" s="6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</row>
    <row r="571" spans="1:42" ht="13.5" customHeight="1">
      <c r="A571" s="1"/>
      <c r="B571" s="1"/>
      <c r="C571" s="26"/>
      <c r="D571" s="1"/>
      <c r="E571" s="1"/>
      <c r="F571" s="1"/>
      <c r="G571" s="1"/>
      <c r="H571" s="1"/>
      <c r="I571" s="1"/>
      <c r="J571" s="6"/>
      <c r="K571" s="6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</row>
    <row r="572" spans="1:42" ht="13.5" customHeight="1">
      <c r="A572" s="1"/>
      <c r="B572" s="1"/>
      <c r="C572" s="26"/>
      <c r="D572" s="1"/>
      <c r="E572" s="1"/>
      <c r="F572" s="1"/>
      <c r="G572" s="1"/>
      <c r="H572" s="1"/>
      <c r="I572" s="1"/>
      <c r="J572" s="6"/>
      <c r="K572" s="6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</row>
    <row r="573" spans="1:42" ht="13.5" customHeight="1">
      <c r="A573" s="1"/>
      <c r="B573" s="1"/>
      <c r="C573" s="2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</row>
    <row r="574" spans="1:42" ht="13.5" customHeight="1">
      <c r="A574" s="1"/>
      <c r="B574" s="1"/>
      <c r="C574" s="2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</row>
    <row r="575" spans="1:42" ht="13.5" customHeight="1">
      <c r="A575" s="1"/>
      <c r="B575" s="1"/>
      <c r="C575" s="2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</row>
    <row r="576" spans="1:42" ht="13.5" customHeight="1">
      <c r="A576" s="1"/>
      <c r="B576" s="1"/>
      <c r="C576" s="2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</row>
    <row r="577" spans="1:42" ht="13.5" customHeight="1">
      <c r="A577" s="1"/>
      <c r="B577" s="1"/>
      <c r="C577" s="2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</row>
    <row r="578" spans="1:42" ht="13.5" customHeight="1">
      <c r="A578" s="1"/>
      <c r="B578" s="1"/>
      <c r="C578" s="2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</row>
    <row r="579" spans="1:42" ht="13.5" customHeight="1">
      <c r="A579" s="1"/>
      <c r="B579" s="1"/>
      <c r="C579" s="2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</row>
    <row r="580" spans="1:42" ht="13.5" customHeight="1">
      <c r="A580" s="1"/>
      <c r="B580" s="1"/>
      <c r="C580" s="2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</row>
    <row r="581" spans="1:42" ht="13.5" customHeight="1">
      <c r="A581" s="1"/>
      <c r="B581" s="1"/>
      <c r="C581" s="2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</row>
    <row r="582" spans="1:42" ht="13.5" customHeight="1">
      <c r="A582" s="1"/>
      <c r="B582" s="1"/>
      <c r="C582" s="2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</row>
    <row r="583" spans="1:42" ht="13.5" customHeight="1">
      <c r="A583" s="1"/>
      <c r="B583" s="1"/>
      <c r="C583" s="2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</row>
    <row r="584" spans="1:42" ht="13.5" customHeight="1">
      <c r="A584" s="1"/>
      <c r="B584" s="1"/>
      <c r="C584" s="2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</row>
    <row r="585" spans="1:42" ht="13.5" customHeight="1">
      <c r="A585" s="1"/>
      <c r="B585" s="1"/>
      <c r="C585" s="2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</row>
    <row r="586" spans="1:42" ht="13.5" customHeight="1">
      <c r="A586" s="1"/>
      <c r="B586" s="1"/>
      <c r="C586" s="2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</row>
    <row r="587" spans="1:42" ht="13.5" customHeight="1">
      <c r="A587" s="1"/>
      <c r="B587" s="1"/>
      <c r="C587" s="2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</row>
    <row r="588" spans="1:42" ht="13.5" customHeight="1">
      <c r="A588" s="1"/>
      <c r="B588" s="1"/>
      <c r="C588" s="2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</row>
    <row r="589" spans="1:42" ht="13.5" customHeight="1">
      <c r="A589" s="1"/>
      <c r="B589" s="1"/>
      <c r="C589" s="2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</row>
    <row r="590" spans="1:42" ht="13.5" customHeight="1">
      <c r="A590" s="1"/>
      <c r="B590" s="1"/>
      <c r="C590" s="2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</row>
    <row r="591" spans="1:42" ht="13.5" customHeight="1">
      <c r="A591" s="1"/>
      <c r="B591" s="1"/>
      <c r="C591" s="2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</row>
    <row r="592" spans="1:42" ht="13.5" customHeight="1">
      <c r="A592" s="1"/>
      <c r="B592" s="1"/>
      <c r="C592" s="2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</row>
    <row r="593" spans="1:42" ht="13.5" customHeight="1">
      <c r="A593" s="1"/>
      <c r="B593" s="1"/>
      <c r="C593" s="2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</row>
    <row r="594" spans="1:42" ht="13.5" customHeight="1">
      <c r="A594" s="1"/>
      <c r="B594" s="1"/>
      <c r="C594" s="2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</row>
    <row r="595" spans="1:42" ht="13.5" customHeight="1">
      <c r="A595" s="1"/>
      <c r="B595" s="1"/>
      <c r="C595" s="2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</row>
    <row r="596" spans="1:42" ht="13.5" customHeight="1">
      <c r="A596" s="1"/>
      <c r="B596" s="1"/>
      <c r="C596" s="2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</row>
    <row r="597" spans="1:42" ht="13.5" customHeight="1">
      <c r="A597" s="1"/>
      <c r="B597" s="1"/>
      <c r="C597" s="2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</row>
    <row r="598" spans="1:42" ht="13.5" customHeight="1">
      <c r="A598" s="1"/>
      <c r="B598" s="1"/>
      <c r="C598" s="2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</row>
    <row r="599" spans="1:42" ht="13.5" customHeight="1">
      <c r="A599" s="1"/>
      <c r="B599" s="1"/>
      <c r="C599" s="2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</row>
    <row r="600" spans="1:42" ht="13.5" customHeight="1">
      <c r="A600" s="1"/>
      <c r="B600" s="1"/>
      <c r="C600" s="2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</row>
    <row r="601" spans="1:42" ht="13.5" customHeight="1">
      <c r="A601" s="1"/>
      <c r="B601" s="1"/>
      <c r="C601" s="2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</row>
    <row r="602" spans="1:42" ht="13.5" customHeight="1">
      <c r="A602" s="1"/>
      <c r="B602" s="1"/>
      <c r="C602" s="2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</row>
    <row r="603" spans="1:42" ht="13.5" customHeight="1">
      <c r="A603" s="1"/>
      <c r="B603" s="1"/>
      <c r="C603" s="2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</row>
    <row r="604" spans="1:42" ht="13.5" customHeight="1">
      <c r="A604" s="1"/>
      <c r="B604" s="1"/>
      <c r="C604" s="2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</row>
    <row r="605" spans="1:42" ht="13.5" customHeight="1">
      <c r="A605" s="1"/>
      <c r="B605" s="1"/>
      <c r="C605" s="2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</row>
    <row r="606" spans="1:42" ht="13.5" customHeight="1">
      <c r="A606" s="1"/>
      <c r="B606" s="1"/>
      <c r="C606" s="2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</row>
    <row r="607" spans="1:42" ht="13.5" customHeight="1">
      <c r="A607" s="1"/>
      <c r="B607" s="1"/>
      <c r="C607" s="2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</row>
    <row r="608" spans="1:42" ht="13.5" customHeight="1">
      <c r="A608" s="1"/>
      <c r="B608" s="1"/>
      <c r="C608" s="2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</row>
    <row r="609" spans="1:42" ht="13.5" customHeight="1">
      <c r="A609" s="1"/>
      <c r="B609" s="1"/>
      <c r="C609" s="2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</row>
    <row r="610" spans="1:42" ht="13.5" customHeight="1">
      <c r="A610" s="1"/>
      <c r="B610" s="1"/>
      <c r="C610" s="2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</row>
    <row r="611" spans="1:42" ht="13.5" customHeight="1">
      <c r="A611" s="1"/>
      <c r="B611" s="1"/>
      <c r="C611" s="2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</row>
    <row r="612" spans="1:42" ht="13.5" customHeight="1">
      <c r="A612" s="1"/>
      <c r="B612" s="1"/>
      <c r="C612" s="2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</row>
    <row r="613" spans="1:42" ht="13.5" customHeight="1">
      <c r="A613" s="1"/>
      <c r="B613" s="1"/>
      <c r="C613" s="2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</row>
    <row r="614" spans="1:42" ht="13.5" customHeight="1">
      <c r="A614" s="1"/>
      <c r="B614" s="1"/>
      <c r="C614" s="2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</row>
    <row r="615" spans="1:42" ht="13.5" customHeight="1">
      <c r="A615" s="1"/>
      <c r="B615" s="1"/>
      <c r="C615" s="2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</row>
    <row r="616" spans="1:42" ht="13.5" customHeight="1">
      <c r="A616" s="1"/>
      <c r="B616" s="1"/>
      <c r="C616" s="2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</row>
    <row r="617" spans="1:42" ht="13.5" customHeight="1">
      <c r="A617" s="1"/>
      <c r="B617" s="1"/>
      <c r="C617" s="2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</row>
    <row r="618" spans="1:42" ht="13.5" customHeight="1">
      <c r="A618" s="1"/>
      <c r="B618" s="1"/>
      <c r="C618" s="2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</row>
    <row r="619" spans="1:42" ht="13.5" customHeight="1">
      <c r="A619" s="1"/>
      <c r="B619" s="1"/>
      <c r="C619" s="2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</row>
    <row r="620" spans="1:42" ht="13.5" customHeight="1">
      <c r="A620" s="1"/>
      <c r="B620" s="1"/>
      <c r="C620" s="2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</row>
    <row r="621" spans="1:42" ht="13.5" customHeight="1">
      <c r="A621" s="1"/>
      <c r="B621" s="1"/>
      <c r="C621" s="2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</row>
    <row r="622" spans="1:42" ht="13.5" customHeight="1">
      <c r="A622" s="1"/>
      <c r="B622" s="1"/>
      <c r="C622" s="2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</row>
    <row r="623" spans="1:42" ht="13.5" customHeight="1">
      <c r="A623" s="1"/>
      <c r="B623" s="1"/>
      <c r="C623" s="2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</row>
    <row r="624" spans="1:42" ht="13.5" customHeight="1">
      <c r="A624" s="1"/>
      <c r="B624" s="1"/>
      <c r="C624" s="2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</row>
    <row r="625" spans="1:42" ht="13.5" customHeight="1">
      <c r="A625" s="1"/>
      <c r="B625" s="1"/>
      <c r="C625" s="2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</row>
    <row r="626" spans="1:42" ht="13.5" customHeight="1">
      <c r="A626" s="1"/>
      <c r="B626" s="1"/>
      <c r="C626" s="2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</row>
    <row r="627" spans="1:42" ht="13.5" customHeight="1">
      <c r="A627" s="1"/>
      <c r="B627" s="1"/>
      <c r="C627" s="2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</row>
    <row r="628" spans="1:42" ht="13.5" customHeight="1">
      <c r="A628" s="1"/>
      <c r="B628" s="1"/>
      <c r="C628" s="2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</row>
    <row r="629" spans="1:42" ht="13.5" customHeight="1">
      <c r="A629" s="1"/>
      <c r="B629" s="1"/>
      <c r="C629" s="2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</row>
    <row r="630" spans="1:42" ht="13.5" customHeight="1">
      <c r="A630" s="1"/>
      <c r="B630" s="1"/>
      <c r="C630" s="2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</row>
    <row r="631" spans="1:42" ht="13.5" customHeight="1">
      <c r="A631" s="1"/>
      <c r="B631" s="1"/>
      <c r="C631" s="2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</row>
    <row r="632" spans="1:42" ht="13.5" customHeight="1">
      <c r="A632" s="1"/>
      <c r="B632" s="1"/>
      <c r="C632" s="2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</row>
    <row r="633" spans="1:42" ht="13.5" customHeight="1">
      <c r="A633" s="1"/>
      <c r="B633" s="1"/>
      <c r="C633" s="2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</row>
    <row r="634" spans="1:42" ht="13.5" customHeight="1">
      <c r="A634" s="1"/>
      <c r="B634" s="1"/>
      <c r="C634" s="2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</row>
    <row r="635" spans="1:42" ht="13.5" customHeight="1">
      <c r="A635" s="1"/>
      <c r="B635" s="1"/>
      <c r="C635" s="2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</row>
    <row r="636" spans="1:42" ht="13.5" customHeight="1">
      <c r="A636" s="1"/>
      <c r="B636" s="1"/>
      <c r="C636" s="2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</row>
    <row r="637" spans="1:42" ht="13.5" customHeight="1">
      <c r="A637" s="1"/>
      <c r="B637" s="1"/>
      <c r="C637" s="2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</row>
    <row r="638" spans="1:42" ht="13.5" customHeight="1">
      <c r="A638" s="1"/>
      <c r="B638" s="1"/>
      <c r="C638" s="2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</row>
    <row r="639" spans="1:42" ht="13.5" customHeight="1">
      <c r="A639" s="1"/>
      <c r="B639" s="1"/>
      <c r="C639" s="2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</row>
    <row r="640" spans="1:42" ht="13.5" customHeight="1">
      <c r="A640" s="1"/>
      <c r="B640" s="1"/>
      <c r="C640" s="2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</row>
    <row r="641" spans="1:42" ht="13.5" customHeight="1">
      <c r="A641" s="1"/>
      <c r="B641" s="1"/>
      <c r="C641" s="2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</row>
    <row r="642" spans="1:42" ht="13.5" customHeight="1">
      <c r="A642" s="1"/>
      <c r="B642" s="1"/>
      <c r="C642" s="2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</row>
    <row r="643" spans="1:42" ht="13.5" customHeight="1">
      <c r="A643" s="1"/>
      <c r="B643" s="1"/>
      <c r="C643" s="2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</row>
    <row r="644" spans="1:42" ht="13.5" customHeight="1">
      <c r="A644" s="1"/>
      <c r="B644" s="1"/>
      <c r="C644" s="2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</row>
    <row r="645" spans="1:42" ht="13.5" customHeight="1">
      <c r="A645" s="1"/>
      <c r="B645" s="1"/>
      <c r="C645" s="2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</row>
    <row r="646" spans="1:42" ht="13.5" customHeight="1">
      <c r="A646" s="1"/>
      <c r="B646" s="1"/>
      <c r="C646" s="2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</row>
    <row r="647" spans="1:42" ht="13.5" customHeight="1">
      <c r="A647" s="1"/>
      <c r="B647" s="1"/>
      <c r="C647" s="2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</row>
    <row r="648" spans="1:42" ht="13.5" customHeight="1">
      <c r="A648" s="1"/>
      <c r="B648" s="1"/>
      <c r="C648" s="2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</row>
    <row r="649" spans="1:42" ht="13.5" customHeight="1">
      <c r="A649" s="1"/>
      <c r="B649" s="1"/>
      <c r="C649" s="2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</row>
    <row r="650" spans="1:42" ht="13.5" customHeight="1">
      <c r="A650" s="1"/>
      <c r="B650" s="1"/>
      <c r="C650" s="2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</row>
    <row r="651" spans="1:42" ht="13.5" customHeight="1">
      <c r="A651" s="1"/>
      <c r="B651" s="1"/>
      <c r="C651" s="2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</row>
    <row r="652" spans="1:42" ht="13.5" customHeight="1">
      <c r="A652" s="1"/>
      <c r="B652" s="1"/>
      <c r="C652" s="2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</row>
    <row r="653" spans="1:42" ht="13.5" customHeight="1">
      <c r="A653" s="1"/>
      <c r="B653" s="1"/>
      <c r="C653" s="2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</row>
    <row r="654" spans="1:42" ht="13.5" customHeight="1">
      <c r="A654" s="1"/>
      <c r="B654" s="1"/>
      <c r="C654" s="2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</row>
    <row r="655" spans="1:42" ht="13.5" customHeight="1">
      <c r="A655" s="1"/>
      <c r="B655" s="1"/>
      <c r="C655" s="2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</row>
    <row r="656" spans="1:42" ht="13.5" customHeight="1">
      <c r="A656" s="1"/>
      <c r="B656" s="1"/>
      <c r="C656" s="2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</row>
    <row r="657" spans="1:42" ht="13.5" customHeight="1">
      <c r="A657" s="1"/>
      <c r="B657" s="1"/>
      <c r="C657" s="2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</row>
    <row r="658" spans="1:42" ht="13.5" customHeight="1">
      <c r="A658" s="1"/>
      <c r="B658" s="1"/>
      <c r="C658" s="2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</row>
    <row r="659" spans="1:42" ht="13.5" customHeight="1">
      <c r="A659" s="1"/>
      <c r="B659" s="1"/>
      <c r="C659" s="2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</row>
    <row r="660" spans="1:42" ht="13.5" customHeight="1">
      <c r="A660" s="1"/>
      <c r="B660" s="1"/>
      <c r="C660" s="2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</row>
    <row r="661" spans="1:42" ht="13.5" customHeight="1">
      <c r="A661" s="1"/>
      <c r="B661" s="1"/>
      <c r="C661" s="2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</row>
    <row r="662" spans="1:42" ht="13.5" customHeight="1">
      <c r="A662" s="1"/>
      <c r="B662" s="1"/>
      <c r="C662" s="2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</row>
    <row r="663" spans="1:42" ht="13.5" customHeight="1">
      <c r="A663" s="1"/>
      <c r="B663" s="1"/>
      <c r="C663" s="2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</row>
    <row r="664" spans="1:42" ht="13.5" customHeight="1">
      <c r="A664" s="1"/>
      <c r="B664" s="1"/>
      <c r="C664" s="2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</row>
    <row r="665" spans="1:42" ht="13.5" customHeight="1">
      <c r="A665" s="1"/>
      <c r="B665" s="1"/>
      <c r="C665" s="2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</row>
    <row r="666" spans="1:42" ht="13.5" customHeight="1">
      <c r="A666" s="1"/>
      <c r="B666" s="1"/>
      <c r="C666" s="2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</row>
    <row r="667" spans="1:42" ht="13.5" customHeight="1">
      <c r="A667" s="1"/>
      <c r="B667" s="1"/>
      <c r="C667" s="2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</row>
    <row r="668" spans="1:42" ht="13.5" customHeight="1">
      <c r="A668" s="1"/>
      <c r="B668" s="1"/>
      <c r="C668" s="2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</row>
    <row r="669" spans="1:42" ht="13.5" customHeight="1">
      <c r="A669" s="1"/>
      <c r="B669" s="1"/>
      <c r="C669" s="2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</row>
    <row r="670" spans="1:42" ht="13.5" customHeight="1">
      <c r="A670" s="1"/>
      <c r="B670" s="1"/>
      <c r="C670" s="2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</row>
    <row r="671" spans="1:42" ht="13.5" customHeight="1">
      <c r="A671" s="1"/>
      <c r="B671" s="1"/>
      <c r="C671" s="2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</row>
    <row r="672" spans="1:42" ht="13.5" customHeight="1">
      <c r="A672" s="1"/>
      <c r="B672" s="1"/>
      <c r="C672" s="2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</row>
    <row r="673" spans="1:42" ht="13.5" customHeight="1">
      <c r="A673" s="1"/>
      <c r="B673" s="1"/>
      <c r="C673" s="2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</row>
    <row r="674" spans="1:42" ht="13.5" customHeight="1">
      <c r="A674" s="1"/>
      <c r="B674" s="1"/>
      <c r="C674" s="2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</row>
    <row r="675" spans="1:42" ht="13.5" customHeight="1">
      <c r="A675" s="1"/>
      <c r="B675" s="1"/>
      <c r="C675" s="2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</row>
    <row r="676" spans="1:42" ht="13.5" customHeight="1">
      <c r="A676" s="1"/>
      <c r="B676" s="1"/>
      <c r="C676" s="2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</row>
    <row r="677" spans="1:42" ht="13.5" customHeight="1">
      <c r="A677" s="1"/>
      <c r="B677" s="1"/>
      <c r="C677" s="2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</row>
    <row r="678" spans="1:42" ht="13.5" customHeight="1">
      <c r="A678" s="1"/>
      <c r="B678" s="1"/>
      <c r="C678" s="2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</row>
    <row r="679" spans="1:42" ht="13.5" customHeight="1">
      <c r="A679" s="1"/>
      <c r="B679" s="1"/>
      <c r="C679" s="2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</row>
    <row r="680" spans="1:42" ht="13.5" customHeight="1">
      <c r="A680" s="1"/>
      <c r="B680" s="1"/>
      <c r="C680" s="2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</row>
    <row r="681" spans="1:42" ht="13.5" customHeight="1">
      <c r="A681" s="1"/>
      <c r="B681" s="1"/>
      <c r="C681" s="2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</row>
    <row r="682" spans="1:42" ht="13.5" customHeight="1">
      <c r="A682" s="1"/>
      <c r="B682" s="1"/>
      <c r="C682" s="2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</row>
    <row r="683" spans="1:42" ht="13.5" customHeight="1">
      <c r="A683" s="1"/>
      <c r="B683" s="1"/>
      <c r="C683" s="2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</row>
    <row r="684" spans="1:42" ht="13.5" customHeight="1">
      <c r="A684" s="1"/>
      <c r="B684" s="1"/>
      <c r="C684" s="2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</row>
    <row r="685" spans="1:42" ht="13.5" customHeight="1">
      <c r="A685" s="1"/>
      <c r="B685" s="1"/>
      <c r="C685" s="2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</row>
    <row r="686" spans="1:42" ht="13.5" customHeight="1">
      <c r="A686" s="1"/>
      <c r="B686" s="1"/>
      <c r="C686" s="2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</row>
    <row r="687" spans="1:42" ht="13.5" customHeight="1">
      <c r="A687" s="1"/>
      <c r="B687" s="1"/>
      <c r="C687" s="2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</row>
    <row r="688" spans="1:42" ht="13.5" customHeight="1">
      <c r="A688" s="1"/>
      <c r="B688" s="1"/>
      <c r="C688" s="2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</row>
    <row r="689" spans="1:42" ht="13.5" customHeight="1">
      <c r="A689" s="1"/>
      <c r="B689" s="1"/>
      <c r="C689" s="2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</row>
    <row r="690" spans="1:42" ht="13.5" customHeight="1">
      <c r="A690" s="1"/>
      <c r="B690" s="1"/>
      <c r="C690" s="2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</row>
    <row r="691" spans="1:42" ht="13.5" customHeight="1">
      <c r="A691" s="1"/>
      <c r="B691" s="1"/>
      <c r="C691" s="2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</row>
    <row r="692" spans="1:42" ht="13.5" customHeight="1">
      <c r="A692" s="1"/>
      <c r="B692" s="1"/>
      <c r="C692" s="2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</row>
    <row r="693" spans="1:42" ht="13.5" customHeight="1">
      <c r="A693" s="1"/>
      <c r="B693" s="1"/>
      <c r="C693" s="2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</row>
    <row r="694" spans="1:42" ht="13.5" customHeight="1">
      <c r="A694" s="1"/>
      <c r="B694" s="1"/>
      <c r="C694" s="2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</row>
    <row r="695" spans="1:42" ht="13.5" customHeight="1">
      <c r="A695" s="1"/>
      <c r="B695" s="1"/>
      <c r="C695" s="2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</row>
    <row r="696" spans="1:42" ht="13.5" customHeight="1">
      <c r="A696" s="1"/>
      <c r="B696" s="1"/>
      <c r="C696" s="2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</row>
    <row r="697" spans="1:42" ht="13.5" customHeight="1">
      <c r="A697" s="1"/>
      <c r="B697" s="1"/>
      <c r="C697" s="2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</row>
    <row r="698" spans="1:42" ht="13.5" customHeight="1">
      <c r="A698" s="1"/>
      <c r="B698" s="1"/>
      <c r="C698" s="2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</row>
    <row r="699" spans="1:42" ht="13.5" customHeight="1">
      <c r="A699" s="1"/>
      <c r="B699" s="1"/>
      <c r="C699" s="2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</row>
    <row r="700" spans="1:42" ht="13.5" customHeight="1">
      <c r="A700" s="1"/>
      <c r="B700" s="1"/>
      <c r="C700" s="2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</row>
    <row r="701" spans="1:42" ht="13.5" customHeight="1">
      <c r="A701" s="1"/>
      <c r="B701" s="1"/>
      <c r="C701" s="2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</row>
    <row r="702" spans="1:42" ht="13.5" customHeight="1">
      <c r="A702" s="1"/>
      <c r="B702" s="1"/>
      <c r="C702" s="2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</row>
    <row r="703" spans="1:42" ht="13.5" customHeight="1">
      <c r="A703" s="1"/>
      <c r="B703" s="1"/>
      <c r="C703" s="2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</row>
    <row r="704" spans="1:42" ht="13.5" customHeight="1">
      <c r="A704" s="1"/>
      <c r="B704" s="1"/>
      <c r="C704" s="2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</row>
    <row r="705" spans="1:42" ht="13.5" customHeight="1">
      <c r="A705" s="1"/>
      <c r="B705" s="1"/>
      <c r="C705" s="2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</row>
    <row r="706" spans="1:42" ht="13.5" customHeight="1">
      <c r="A706" s="1"/>
      <c r="B706" s="1"/>
      <c r="C706" s="2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</row>
    <row r="707" spans="1:42" ht="13.5" customHeight="1">
      <c r="A707" s="1"/>
      <c r="B707" s="1"/>
      <c r="C707" s="2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</row>
    <row r="708" spans="1:42" ht="13.5" customHeight="1">
      <c r="A708" s="1"/>
      <c r="B708" s="1"/>
      <c r="C708" s="2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</row>
    <row r="709" spans="1:42" ht="13.5" customHeight="1">
      <c r="A709" s="1"/>
      <c r="B709" s="1"/>
      <c r="C709" s="2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</row>
    <row r="710" spans="1:42" ht="13.5" customHeight="1">
      <c r="A710" s="1"/>
      <c r="B710" s="1"/>
      <c r="C710" s="2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</row>
    <row r="711" spans="1:42" ht="13.5" customHeight="1">
      <c r="A711" s="1"/>
      <c r="B711" s="1"/>
      <c r="C711" s="2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</row>
    <row r="712" spans="1:42" ht="13.5" customHeight="1">
      <c r="A712" s="1"/>
      <c r="B712" s="1"/>
      <c r="C712" s="2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</row>
    <row r="713" spans="1:42" ht="13.5" customHeight="1">
      <c r="A713" s="1"/>
      <c r="B713" s="1"/>
      <c r="C713" s="2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</row>
    <row r="714" spans="1:42" ht="13.5" customHeight="1">
      <c r="A714" s="1"/>
      <c r="B714" s="1"/>
      <c r="C714" s="2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</row>
    <row r="715" spans="1:42" ht="13.5" customHeight="1">
      <c r="A715" s="1"/>
      <c r="B715" s="1"/>
      <c r="C715" s="2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</row>
    <row r="716" spans="1:42" ht="13.5" customHeight="1">
      <c r="A716" s="1"/>
      <c r="B716" s="1"/>
      <c r="C716" s="2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</row>
    <row r="717" spans="1:42" ht="13.5" customHeight="1">
      <c r="A717" s="1"/>
      <c r="B717" s="1"/>
      <c r="C717" s="2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</row>
    <row r="718" spans="1:42" ht="13.5" customHeight="1">
      <c r="A718" s="1"/>
      <c r="B718" s="1"/>
      <c r="C718" s="2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</row>
    <row r="719" spans="1:42" ht="13.5" customHeight="1">
      <c r="A719" s="1"/>
      <c r="B719" s="1"/>
      <c r="C719" s="2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</row>
    <row r="720" spans="1:42" ht="13.5" customHeight="1">
      <c r="A720" s="1"/>
      <c r="B720" s="1"/>
      <c r="C720" s="2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</row>
    <row r="721" spans="1:42" ht="13.5" customHeight="1">
      <c r="A721" s="1"/>
      <c r="B721" s="1"/>
      <c r="C721" s="2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</row>
    <row r="722" spans="1:42" ht="13.5" customHeight="1">
      <c r="A722" s="1"/>
      <c r="B722" s="1"/>
      <c r="C722" s="2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</row>
    <row r="723" spans="1:42" ht="13.5" customHeight="1">
      <c r="A723" s="1"/>
      <c r="B723" s="1"/>
      <c r="C723" s="2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</row>
    <row r="724" spans="1:42" ht="13.5" customHeight="1">
      <c r="A724" s="1"/>
      <c r="B724" s="1"/>
      <c r="C724" s="2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</row>
    <row r="725" spans="1:42" ht="13.5" customHeight="1">
      <c r="A725" s="1"/>
      <c r="B725" s="1"/>
      <c r="C725" s="2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</row>
    <row r="726" spans="1:42" ht="13.5" customHeight="1">
      <c r="A726" s="1"/>
      <c r="B726" s="1"/>
      <c r="C726" s="2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</row>
    <row r="727" spans="1:42" ht="13.5" customHeight="1">
      <c r="A727" s="1"/>
      <c r="B727" s="1"/>
      <c r="C727" s="2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</row>
    <row r="728" spans="1:42" ht="13.5" customHeight="1">
      <c r="A728" s="1"/>
      <c r="B728" s="1"/>
      <c r="C728" s="2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</row>
    <row r="729" spans="1:42" ht="13.5" customHeight="1">
      <c r="A729" s="1"/>
      <c r="B729" s="1"/>
      <c r="C729" s="2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</row>
    <row r="730" spans="1:42" ht="13.5" customHeight="1">
      <c r="A730" s="1"/>
      <c r="B730" s="1"/>
      <c r="C730" s="2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</row>
    <row r="731" spans="1:42" ht="13.5" customHeight="1">
      <c r="A731" s="1"/>
      <c r="B731" s="1"/>
      <c r="C731" s="2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</row>
    <row r="732" spans="1:42" ht="13.5" customHeight="1">
      <c r="A732" s="1"/>
      <c r="B732" s="1"/>
      <c r="C732" s="2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</row>
    <row r="733" spans="1:42" ht="13.5" customHeight="1">
      <c r="A733" s="1"/>
      <c r="B733" s="1"/>
      <c r="C733" s="2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</row>
    <row r="734" spans="1:42" ht="13.5" customHeight="1">
      <c r="A734" s="1"/>
      <c r="B734" s="1"/>
      <c r="C734" s="2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</row>
    <row r="735" spans="1:42" ht="13.5" customHeight="1">
      <c r="A735" s="1"/>
      <c r="B735" s="1"/>
      <c r="C735" s="2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</row>
    <row r="736" spans="1:42" ht="13.5" customHeight="1">
      <c r="A736" s="1"/>
      <c r="B736" s="1"/>
      <c r="C736" s="2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</row>
    <row r="737" spans="1:42" ht="13.5" customHeight="1">
      <c r="A737" s="1"/>
      <c r="B737" s="1"/>
      <c r="C737" s="2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</row>
    <row r="738" spans="1:42" ht="13.5" customHeight="1">
      <c r="A738" s="1"/>
      <c r="B738" s="1"/>
      <c r="C738" s="2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</row>
    <row r="739" spans="1:42" ht="13.5" customHeight="1">
      <c r="A739" s="1"/>
      <c r="B739" s="1"/>
      <c r="C739" s="2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</row>
    <row r="740" spans="1:42" ht="13.5" customHeight="1">
      <c r="A740" s="1"/>
      <c r="B740" s="1"/>
      <c r="C740" s="2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</row>
    <row r="741" spans="1:42" ht="13.5" customHeight="1">
      <c r="A741" s="1"/>
      <c r="B741" s="1"/>
      <c r="C741" s="2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</row>
    <row r="742" spans="1:42" ht="13.5" customHeight="1">
      <c r="A742" s="1"/>
      <c r="B742" s="1"/>
      <c r="C742" s="2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</row>
    <row r="743" spans="1:42" ht="13.5" customHeight="1">
      <c r="A743" s="1"/>
      <c r="B743" s="1"/>
      <c r="C743" s="2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</row>
    <row r="744" spans="1:42" ht="13.5" customHeight="1">
      <c r="A744" s="1"/>
      <c r="B744" s="1"/>
      <c r="C744" s="2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</row>
    <row r="745" spans="1:42" ht="13.5" customHeight="1">
      <c r="A745" s="1"/>
      <c r="B745" s="1"/>
      <c r="C745" s="2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</row>
    <row r="746" spans="1:42" ht="13.5" customHeight="1">
      <c r="A746" s="1"/>
      <c r="B746" s="1"/>
      <c r="C746" s="2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</row>
    <row r="747" spans="1:42" ht="13.5" customHeight="1">
      <c r="A747" s="1"/>
      <c r="B747" s="1"/>
      <c r="C747" s="2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</row>
    <row r="748" spans="1:42" ht="13.5" customHeight="1">
      <c r="A748" s="1"/>
      <c r="B748" s="1"/>
      <c r="C748" s="2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</row>
    <row r="749" spans="1:42" ht="13.5" customHeight="1">
      <c r="A749" s="1"/>
      <c r="B749" s="1"/>
      <c r="C749" s="2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</row>
    <row r="750" spans="1:42" ht="13.5" customHeight="1">
      <c r="A750" s="1"/>
      <c r="B750" s="1"/>
      <c r="C750" s="2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</row>
    <row r="751" spans="1:42" ht="13.5" customHeight="1">
      <c r="A751" s="1"/>
      <c r="B751" s="1"/>
      <c r="C751" s="2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</row>
    <row r="752" spans="1:42" ht="13.5" customHeight="1">
      <c r="A752" s="1"/>
      <c r="B752" s="1"/>
      <c r="C752" s="2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</row>
    <row r="753" spans="1:42" ht="13.5" customHeight="1">
      <c r="A753" s="1"/>
      <c r="B753" s="1"/>
      <c r="C753" s="2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</row>
    <row r="754" spans="1:42" ht="13.5" customHeight="1">
      <c r="A754" s="1"/>
      <c r="B754" s="1"/>
      <c r="C754" s="2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</row>
    <row r="755" spans="1:42" ht="13.5" customHeight="1">
      <c r="A755" s="1"/>
      <c r="B755" s="1"/>
      <c r="C755" s="2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</row>
    <row r="756" spans="1:42" ht="13.5" customHeight="1">
      <c r="A756" s="1"/>
      <c r="B756" s="1"/>
      <c r="C756" s="2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</row>
    <row r="757" spans="1:42" ht="13.5" customHeight="1">
      <c r="A757" s="1"/>
      <c r="B757" s="1"/>
      <c r="C757" s="2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</row>
    <row r="758" spans="1:42" ht="13.5" customHeight="1">
      <c r="A758" s="1"/>
      <c r="B758" s="1"/>
      <c r="C758" s="2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</row>
    <row r="759" spans="1:42" ht="13.5" customHeight="1">
      <c r="A759" s="1"/>
      <c r="B759" s="1"/>
      <c r="C759" s="2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</row>
    <row r="760" spans="1:42" ht="13.5" customHeight="1">
      <c r="A760" s="1"/>
      <c r="B760" s="1"/>
      <c r="C760" s="2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</row>
    <row r="761" spans="1:42" ht="13.5" customHeight="1">
      <c r="A761" s="1"/>
      <c r="B761" s="1"/>
      <c r="C761" s="2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</row>
    <row r="762" spans="1:42" ht="13.5" customHeight="1">
      <c r="A762" s="1"/>
      <c r="B762" s="1"/>
      <c r="C762" s="2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</row>
    <row r="763" spans="1:42" ht="13.5" customHeight="1">
      <c r="A763" s="1"/>
      <c r="B763" s="1"/>
      <c r="C763" s="2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</row>
    <row r="764" spans="1:42" ht="13.5" customHeight="1">
      <c r="A764" s="1"/>
      <c r="B764" s="1"/>
      <c r="C764" s="2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</row>
    <row r="765" spans="1:42" ht="13.5" customHeight="1">
      <c r="A765" s="1"/>
      <c r="B765" s="1"/>
      <c r="C765" s="2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</row>
    <row r="766" spans="1:42" ht="13.5" customHeight="1">
      <c r="A766" s="1"/>
      <c r="B766" s="1"/>
      <c r="C766" s="2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</row>
    <row r="767" spans="1:42" ht="13.5" customHeight="1">
      <c r="A767" s="1"/>
      <c r="B767" s="1"/>
      <c r="C767" s="2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</row>
    <row r="768" spans="1:42" ht="13.5" customHeight="1">
      <c r="A768" s="1"/>
      <c r="B768" s="1"/>
      <c r="C768" s="2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</row>
    <row r="769" spans="1:42" ht="13.5" customHeight="1">
      <c r="A769" s="1"/>
      <c r="B769" s="1"/>
      <c r="C769" s="2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</row>
    <row r="770" spans="1:42" ht="13.5" customHeight="1">
      <c r="A770" s="1"/>
      <c r="B770" s="1"/>
      <c r="C770" s="2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</row>
    <row r="771" spans="1:42" ht="13.5" customHeight="1">
      <c r="A771" s="1"/>
      <c r="B771" s="1"/>
      <c r="C771" s="2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</row>
    <row r="772" spans="1:42" ht="13.5" customHeight="1">
      <c r="A772" s="1"/>
      <c r="B772" s="1"/>
      <c r="C772" s="2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</row>
    <row r="773" spans="1:42" ht="13.5" customHeight="1">
      <c r="A773" s="1"/>
      <c r="B773" s="1"/>
      <c r="C773" s="2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</row>
    <row r="774" spans="1:42" ht="13.5" customHeight="1">
      <c r="A774" s="1"/>
      <c r="B774" s="1"/>
      <c r="C774" s="2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</row>
    <row r="775" spans="1:42" ht="13.5" customHeight="1">
      <c r="A775" s="1"/>
      <c r="B775" s="1"/>
      <c r="C775" s="2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</row>
    <row r="776" spans="1:42" ht="13.5" customHeight="1">
      <c r="A776" s="1"/>
      <c r="B776" s="1"/>
      <c r="C776" s="2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</row>
    <row r="777" spans="1:42" ht="13.5" customHeight="1">
      <c r="A777" s="1"/>
      <c r="B777" s="1"/>
      <c r="C777" s="2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</row>
    <row r="778" spans="1:42" ht="13.5" customHeight="1">
      <c r="A778" s="1"/>
      <c r="B778" s="1"/>
      <c r="C778" s="2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</row>
    <row r="779" spans="1:42" ht="13.5" customHeight="1">
      <c r="A779" s="1"/>
      <c r="B779" s="1"/>
      <c r="C779" s="2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</row>
    <row r="780" spans="1:42" ht="13.5" customHeight="1">
      <c r="A780" s="1"/>
      <c r="B780" s="1"/>
      <c r="C780" s="2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</row>
    <row r="781" spans="1:42" ht="13.5" customHeight="1">
      <c r="A781" s="1"/>
      <c r="B781" s="1"/>
      <c r="C781" s="2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</row>
    <row r="782" spans="1:42" ht="13.5" customHeight="1">
      <c r="A782" s="1"/>
      <c r="B782" s="1"/>
      <c r="C782" s="2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</row>
    <row r="783" spans="1:42" ht="13.5" customHeight="1">
      <c r="A783" s="1"/>
      <c r="B783" s="1"/>
      <c r="C783" s="2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</row>
    <row r="784" spans="1:42" ht="13.5" customHeight="1">
      <c r="A784" s="1"/>
      <c r="B784" s="1"/>
      <c r="C784" s="2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</row>
    <row r="785" spans="1:42" ht="13.5" customHeight="1">
      <c r="A785" s="1"/>
      <c r="B785" s="1"/>
      <c r="C785" s="2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</row>
    <row r="786" spans="1:42" ht="13.5" customHeight="1">
      <c r="A786" s="1"/>
      <c r="B786" s="1"/>
      <c r="C786" s="2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</row>
    <row r="787" spans="1:42" ht="13.5" customHeight="1">
      <c r="A787" s="1"/>
      <c r="B787" s="1"/>
      <c r="C787" s="2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</row>
    <row r="788" spans="1:42" ht="13.5" customHeight="1">
      <c r="A788" s="1"/>
      <c r="B788" s="1"/>
      <c r="C788" s="2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</row>
    <row r="789" spans="1:42" ht="13.5" customHeight="1">
      <c r="A789" s="1"/>
      <c r="B789" s="1"/>
      <c r="C789" s="2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</row>
    <row r="790" spans="1:42" ht="13.5" customHeight="1">
      <c r="A790" s="1"/>
      <c r="B790" s="1"/>
      <c r="C790" s="2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</row>
    <row r="791" spans="1:42" ht="13.5" customHeight="1">
      <c r="A791" s="1"/>
      <c r="B791" s="1"/>
      <c r="C791" s="2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</row>
    <row r="792" spans="1:42" ht="13.5" customHeight="1">
      <c r="A792" s="1"/>
      <c r="B792" s="1"/>
      <c r="C792" s="2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</row>
    <row r="793" spans="1:42" ht="13.5" customHeight="1">
      <c r="A793" s="1"/>
      <c r="B793" s="1"/>
      <c r="C793" s="2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</row>
    <row r="794" spans="1:42" ht="13.5" customHeight="1">
      <c r="A794" s="1"/>
      <c r="B794" s="1"/>
      <c r="C794" s="2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</row>
    <row r="795" spans="1:42" ht="13.5" customHeight="1">
      <c r="A795" s="1"/>
      <c r="B795" s="1"/>
      <c r="C795" s="2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</row>
    <row r="796" spans="1:42" ht="13.5" customHeight="1">
      <c r="A796" s="1"/>
      <c r="B796" s="1"/>
      <c r="C796" s="2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</row>
    <row r="797" spans="1:42" ht="13.5" customHeight="1">
      <c r="A797" s="1"/>
      <c r="B797" s="1"/>
      <c r="C797" s="2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</row>
    <row r="798" spans="1:42" ht="13.5" customHeight="1">
      <c r="A798" s="1"/>
      <c r="B798" s="1"/>
      <c r="C798" s="2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</row>
    <row r="799" spans="1:42" ht="13.5" customHeight="1">
      <c r="A799" s="1"/>
      <c r="B799" s="1"/>
      <c r="C799" s="2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</row>
    <row r="800" spans="1:42" ht="13.5" customHeight="1">
      <c r="A800" s="1"/>
      <c r="B800" s="1"/>
      <c r="C800" s="2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</row>
    <row r="801" spans="1:42" ht="13.5" customHeight="1">
      <c r="A801" s="1"/>
      <c r="B801" s="1"/>
      <c r="C801" s="2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</row>
    <row r="802" spans="1:42" ht="13.5" customHeight="1">
      <c r="A802" s="1"/>
      <c r="B802" s="1"/>
      <c r="C802" s="2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</row>
    <row r="803" spans="1:42" ht="13.5" customHeight="1">
      <c r="A803" s="1"/>
      <c r="B803" s="1"/>
      <c r="C803" s="2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</row>
    <row r="804" spans="1:42" ht="13.5" customHeight="1">
      <c r="A804" s="1"/>
      <c r="B804" s="1"/>
      <c r="C804" s="2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</row>
    <row r="805" spans="1:42" ht="13.5" customHeight="1">
      <c r="A805" s="1"/>
      <c r="B805" s="1"/>
      <c r="C805" s="2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</row>
    <row r="806" spans="1:42" ht="13.5" customHeight="1">
      <c r="A806" s="1"/>
      <c r="B806" s="1"/>
      <c r="C806" s="2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</row>
    <row r="807" spans="1:42" ht="13.5" customHeight="1">
      <c r="A807" s="1"/>
      <c r="B807" s="1"/>
      <c r="C807" s="2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</row>
    <row r="808" spans="1:42" ht="13.5" customHeight="1">
      <c r="A808" s="1"/>
      <c r="B808" s="1"/>
      <c r="C808" s="2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</row>
    <row r="809" spans="1:42" ht="13.5" customHeight="1">
      <c r="A809" s="1"/>
      <c r="B809" s="1"/>
      <c r="C809" s="2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</row>
    <row r="810" spans="1:42" ht="13.5" customHeight="1">
      <c r="A810" s="1"/>
      <c r="B810" s="1"/>
      <c r="C810" s="2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</row>
    <row r="811" spans="1:42" ht="13.5" customHeight="1">
      <c r="A811" s="1"/>
      <c r="B811" s="1"/>
      <c r="C811" s="2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</row>
    <row r="812" spans="1:42" ht="13.5" customHeight="1">
      <c r="A812" s="1"/>
      <c r="B812" s="1"/>
      <c r="C812" s="2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</row>
    <row r="813" spans="1:42" ht="13.5" customHeight="1">
      <c r="A813" s="1"/>
      <c r="B813" s="1"/>
      <c r="C813" s="2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</row>
    <row r="814" spans="1:42" ht="13.5" customHeight="1">
      <c r="A814" s="1"/>
      <c r="B814" s="1"/>
      <c r="C814" s="2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</row>
    <row r="815" spans="1:42" ht="13.5" customHeight="1">
      <c r="A815" s="1"/>
      <c r="B815" s="1"/>
      <c r="C815" s="2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</row>
    <row r="816" spans="1:42" ht="13.5" customHeight="1">
      <c r="A816" s="1"/>
      <c r="B816" s="1"/>
      <c r="C816" s="2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</row>
    <row r="817" spans="1:42" ht="13.5" customHeight="1">
      <c r="A817" s="1"/>
      <c r="B817" s="1"/>
      <c r="C817" s="2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</row>
    <row r="818" spans="1:42" ht="13.5" customHeight="1">
      <c r="A818" s="1"/>
      <c r="B818" s="1"/>
      <c r="C818" s="2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</row>
    <row r="819" spans="1:42" ht="13.5" customHeight="1">
      <c r="A819" s="1"/>
      <c r="B819" s="1"/>
      <c r="C819" s="2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</row>
    <row r="820" spans="1:42" ht="13.5" customHeight="1">
      <c r="A820" s="1"/>
      <c r="B820" s="1"/>
      <c r="C820" s="2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</row>
    <row r="821" spans="1:42" ht="13.5" customHeight="1">
      <c r="A821" s="1"/>
      <c r="B821" s="1"/>
      <c r="C821" s="2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</row>
    <row r="822" spans="1:42" ht="13.5" customHeight="1">
      <c r="A822" s="1"/>
      <c r="B822" s="1"/>
      <c r="C822" s="2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</row>
    <row r="823" spans="1:42" ht="13.5" customHeight="1">
      <c r="A823" s="1"/>
      <c r="B823" s="1"/>
      <c r="C823" s="2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</row>
    <row r="824" spans="1:42" ht="13.5" customHeight="1">
      <c r="A824" s="1"/>
      <c r="B824" s="1"/>
      <c r="C824" s="2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</row>
    <row r="825" spans="1:42" ht="13.5" customHeight="1">
      <c r="A825" s="1"/>
      <c r="B825" s="1"/>
      <c r="C825" s="2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</row>
    <row r="826" spans="1:42" ht="13.5" customHeight="1">
      <c r="A826" s="1"/>
      <c r="B826" s="1"/>
      <c r="C826" s="2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</row>
    <row r="827" spans="1:42" ht="13.5" customHeight="1">
      <c r="A827" s="1"/>
      <c r="B827" s="1"/>
      <c r="C827" s="2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</row>
    <row r="828" spans="1:42" ht="13.5" customHeight="1">
      <c r="A828" s="1"/>
      <c r="B828" s="1"/>
      <c r="C828" s="2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</row>
    <row r="829" spans="1:42" ht="13.5" customHeight="1">
      <c r="A829" s="1"/>
      <c r="B829" s="1"/>
      <c r="C829" s="2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</row>
    <row r="830" spans="1:42" ht="13.5" customHeight="1">
      <c r="A830" s="1"/>
      <c r="B830" s="1"/>
      <c r="C830" s="2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</row>
    <row r="831" spans="1:42" ht="13.5" customHeight="1">
      <c r="A831" s="1"/>
      <c r="B831" s="1"/>
      <c r="C831" s="2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</row>
    <row r="832" spans="1:42" ht="13.5" customHeight="1">
      <c r="A832" s="1"/>
      <c r="B832" s="1"/>
      <c r="C832" s="2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</row>
    <row r="833" spans="1:42" ht="13.5" customHeight="1">
      <c r="A833" s="1"/>
      <c r="B833" s="1"/>
      <c r="C833" s="2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</row>
    <row r="834" spans="1:42" ht="13.5" customHeight="1">
      <c r="A834" s="1"/>
      <c r="B834" s="1"/>
      <c r="C834" s="2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</row>
    <row r="835" spans="1:42" ht="13.5" customHeight="1">
      <c r="A835" s="1"/>
      <c r="B835" s="1"/>
      <c r="C835" s="2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</row>
    <row r="836" spans="1:42" ht="13.5" customHeight="1">
      <c r="A836" s="1"/>
      <c r="B836" s="1"/>
      <c r="C836" s="2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</row>
    <row r="837" spans="1:42" ht="13.5" customHeight="1">
      <c r="A837" s="1"/>
      <c r="B837" s="1"/>
      <c r="C837" s="2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</row>
    <row r="838" spans="1:42" ht="13.5" customHeight="1">
      <c r="A838" s="1"/>
      <c r="B838" s="1"/>
      <c r="C838" s="2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</row>
    <row r="839" spans="1:42" ht="13.5" customHeight="1">
      <c r="A839" s="1"/>
      <c r="B839" s="1"/>
      <c r="C839" s="2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</row>
    <row r="840" spans="1:42" ht="13.5" customHeight="1">
      <c r="A840" s="1"/>
      <c r="B840" s="1"/>
      <c r="C840" s="2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</row>
    <row r="841" spans="1:42" ht="13.5" customHeight="1">
      <c r="A841" s="1"/>
      <c r="B841" s="1"/>
      <c r="C841" s="2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</row>
    <row r="842" spans="1:42" ht="13.5" customHeight="1">
      <c r="A842" s="1"/>
      <c r="B842" s="1"/>
      <c r="C842" s="2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</row>
    <row r="843" spans="1:42" ht="13.5" customHeight="1">
      <c r="A843" s="1"/>
      <c r="B843" s="1"/>
      <c r="C843" s="2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</row>
    <row r="844" spans="1:42" ht="13.5" customHeight="1">
      <c r="A844" s="1"/>
      <c r="B844" s="1"/>
      <c r="C844" s="2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</row>
    <row r="845" spans="1:42" ht="13.5" customHeight="1">
      <c r="A845" s="1"/>
      <c r="B845" s="1"/>
      <c r="C845" s="2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</row>
    <row r="846" spans="1:42" ht="13.5" customHeight="1">
      <c r="A846" s="1"/>
      <c r="B846" s="1"/>
      <c r="C846" s="2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</row>
    <row r="847" spans="1:42" ht="13.5" customHeight="1">
      <c r="A847" s="1"/>
      <c r="B847" s="1"/>
      <c r="C847" s="2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</row>
    <row r="848" spans="1:42" ht="13.5" customHeight="1">
      <c r="A848" s="1"/>
      <c r="B848" s="1"/>
      <c r="C848" s="2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</row>
    <row r="849" spans="1:42" ht="13.5" customHeight="1">
      <c r="A849" s="1"/>
      <c r="B849" s="1"/>
      <c r="C849" s="2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</row>
    <row r="850" spans="1:42" ht="13.5" customHeight="1">
      <c r="A850" s="1"/>
      <c r="B850" s="1"/>
      <c r="C850" s="2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</row>
    <row r="851" spans="1:42" ht="13.5" customHeight="1">
      <c r="A851" s="1"/>
      <c r="B851" s="1"/>
      <c r="C851" s="2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</row>
    <row r="852" spans="1:42" ht="13.5" customHeight="1">
      <c r="A852" s="1"/>
      <c r="B852" s="1"/>
      <c r="C852" s="2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</row>
    <row r="853" spans="1:42" ht="13.5" customHeight="1">
      <c r="A853" s="1"/>
      <c r="B853" s="1"/>
      <c r="C853" s="2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</row>
    <row r="854" spans="1:42" ht="13.5" customHeight="1">
      <c r="A854" s="1"/>
      <c r="B854" s="1"/>
      <c r="C854" s="2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</row>
    <row r="855" spans="1:42" ht="13.5" customHeight="1">
      <c r="A855" s="1"/>
      <c r="B855" s="1"/>
      <c r="C855" s="2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</row>
    <row r="856" spans="1:42" ht="13.5" customHeight="1">
      <c r="A856" s="1"/>
      <c r="B856" s="1"/>
      <c r="C856" s="2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</row>
    <row r="857" spans="1:42" ht="13.5" customHeight="1">
      <c r="A857" s="1"/>
      <c r="B857" s="1"/>
      <c r="C857" s="2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</row>
    <row r="858" spans="1:42" ht="13.5" customHeight="1">
      <c r="A858" s="1"/>
      <c r="B858" s="1"/>
      <c r="C858" s="2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</row>
    <row r="859" spans="1:42" ht="13.5" customHeight="1">
      <c r="A859" s="1"/>
      <c r="B859" s="1"/>
      <c r="C859" s="2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</row>
    <row r="860" spans="1:42" ht="13.5" customHeight="1">
      <c r="A860" s="1"/>
      <c r="B860" s="1"/>
      <c r="C860" s="2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</row>
    <row r="861" spans="1:42" ht="13.5" customHeight="1">
      <c r="A861" s="1"/>
      <c r="B861" s="1"/>
      <c r="C861" s="2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</row>
    <row r="862" spans="1:42" ht="13.5" customHeight="1">
      <c r="A862" s="1"/>
      <c r="B862" s="1"/>
      <c r="C862" s="2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</row>
    <row r="863" spans="1:42" ht="13.5" customHeight="1">
      <c r="A863" s="1"/>
      <c r="B863" s="1"/>
      <c r="C863" s="2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</row>
    <row r="864" spans="1:42" ht="13.5" customHeight="1">
      <c r="A864" s="1"/>
      <c r="B864" s="1"/>
      <c r="C864" s="2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</row>
    <row r="865" spans="1:42" ht="13.5" customHeight="1">
      <c r="A865" s="1"/>
      <c r="B865" s="1"/>
      <c r="C865" s="2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</row>
    <row r="866" spans="1:42" ht="13.5" customHeight="1">
      <c r="A866" s="1"/>
      <c r="B866" s="1"/>
      <c r="C866" s="2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</row>
    <row r="867" spans="1:42" ht="13.5" customHeight="1">
      <c r="A867" s="1"/>
      <c r="B867" s="1"/>
      <c r="C867" s="2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</row>
    <row r="868" spans="1:42" ht="13.5" customHeight="1">
      <c r="A868" s="1"/>
      <c r="B868" s="1"/>
      <c r="C868" s="2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</row>
    <row r="869" spans="1:42" ht="13.5" customHeight="1">
      <c r="A869" s="1"/>
      <c r="B869" s="1"/>
      <c r="C869" s="2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</row>
    <row r="870" spans="1:42" ht="13.5" customHeight="1">
      <c r="A870" s="1"/>
      <c r="B870" s="1"/>
      <c r="C870" s="2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</row>
    <row r="871" spans="1:42" ht="13.5" customHeight="1">
      <c r="A871" s="1"/>
      <c r="B871" s="1"/>
      <c r="C871" s="2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</row>
    <row r="872" spans="1:42" ht="13.5" customHeight="1">
      <c r="A872" s="1"/>
      <c r="B872" s="1"/>
      <c r="C872" s="2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</row>
    <row r="873" spans="1:42" ht="13.5" customHeight="1">
      <c r="A873" s="1"/>
      <c r="B873" s="1"/>
      <c r="C873" s="2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</row>
    <row r="874" spans="1:42" ht="13.5" customHeight="1">
      <c r="A874" s="1"/>
      <c r="B874" s="1"/>
      <c r="C874" s="2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</row>
    <row r="875" spans="1:42" ht="13.5" customHeight="1">
      <c r="A875" s="1"/>
      <c r="B875" s="1"/>
      <c r="C875" s="2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</row>
    <row r="876" spans="1:42" ht="13.5" customHeight="1">
      <c r="A876" s="1"/>
      <c r="B876" s="1"/>
      <c r="C876" s="2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</row>
    <row r="877" spans="1:42" ht="13.5" customHeight="1">
      <c r="A877" s="1"/>
      <c r="B877" s="1"/>
      <c r="C877" s="2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</row>
    <row r="878" spans="1:42" ht="13.5" customHeight="1">
      <c r="A878" s="1"/>
      <c r="B878" s="1"/>
      <c r="C878" s="2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</row>
    <row r="879" spans="1:42" ht="13.5" customHeight="1">
      <c r="A879" s="1"/>
      <c r="B879" s="1"/>
      <c r="C879" s="2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</row>
    <row r="880" spans="1:42" ht="13.5" customHeight="1">
      <c r="A880" s="1"/>
      <c r="B880" s="1"/>
      <c r="C880" s="2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</row>
    <row r="881" spans="1:42" ht="13.5" customHeight="1">
      <c r="A881" s="1"/>
      <c r="B881" s="1"/>
      <c r="C881" s="2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</row>
    <row r="882" spans="1:42" ht="13.5" customHeight="1">
      <c r="A882" s="1"/>
      <c r="B882" s="1"/>
      <c r="C882" s="2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</row>
    <row r="883" spans="1:42" ht="13.5" customHeight="1">
      <c r="A883" s="1"/>
      <c r="B883" s="1"/>
      <c r="C883" s="2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</row>
    <row r="884" spans="1:42" ht="13.5" customHeight="1">
      <c r="A884" s="1"/>
      <c r="B884" s="1"/>
      <c r="C884" s="2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</row>
    <row r="885" spans="1:42" ht="13.5" customHeight="1">
      <c r="A885" s="1"/>
      <c r="B885" s="1"/>
      <c r="C885" s="2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</row>
    <row r="886" spans="1:42" ht="13.5" customHeight="1">
      <c r="A886" s="1"/>
      <c r="B886" s="1"/>
      <c r="C886" s="2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</row>
    <row r="887" spans="1:42" ht="13.5" customHeight="1">
      <c r="A887" s="1"/>
      <c r="B887" s="1"/>
      <c r="C887" s="2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</row>
    <row r="888" spans="1:42" ht="13.5" customHeight="1">
      <c r="A888" s="1"/>
      <c r="B888" s="1"/>
      <c r="C888" s="2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</row>
    <row r="889" spans="1:42" ht="13.5" customHeight="1">
      <c r="A889" s="1"/>
      <c r="B889" s="1"/>
      <c r="C889" s="2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</row>
    <row r="890" spans="1:42" ht="13.5" customHeight="1">
      <c r="A890" s="1"/>
      <c r="B890" s="1"/>
      <c r="C890" s="2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</row>
    <row r="891" spans="1:42" ht="13.5" customHeight="1">
      <c r="A891" s="1"/>
      <c r="B891" s="1"/>
      <c r="C891" s="2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</row>
    <row r="892" spans="1:42" ht="13.5" customHeight="1">
      <c r="A892" s="1"/>
      <c r="B892" s="1"/>
      <c r="C892" s="2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</row>
    <row r="893" spans="1:42" ht="13.5" customHeight="1">
      <c r="A893" s="1"/>
      <c r="B893" s="1"/>
      <c r="C893" s="2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</row>
    <row r="894" spans="1:42" ht="13.5" customHeight="1">
      <c r="A894" s="1"/>
      <c r="B894" s="1"/>
      <c r="C894" s="2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</row>
    <row r="895" spans="1:42" ht="13.5" customHeight="1">
      <c r="A895" s="1"/>
      <c r="B895" s="1"/>
      <c r="C895" s="2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</row>
    <row r="896" spans="1:42" ht="13.5" customHeight="1">
      <c r="A896" s="1"/>
      <c r="B896" s="1"/>
      <c r="C896" s="2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</row>
    <row r="897" spans="1:42" ht="13.5" customHeight="1">
      <c r="A897" s="1"/>
      <c r="B897" s="1"/>
      <c r="C897" s="2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</row>
    <row r="898" spans="1:42" ht="13.5" customHeight="1">
      <c r="A898" s="1"/>
      <c r="B898" s="1"/>
      <c r="C898" s="2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</row>
    <row r="899" spans="1:42" ht="13.5" customHeight="1">
      <c r="A899" s="1"/>
      <c r="B899" s="1"/>
      <c r="C899" s="2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</row>
    <row r="900" spans="1:42" ht="13.5" customHeight="1">
      <c r="A900" s="1"/>
      <c r="B900" s="1"/>
      <c r="C900" s="2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</row>
    <row r="901" spans="1:42" ht="13.5" customHeight="1">
      <c r="A901" s="1"/>
      <c r="B901" s="1"/>
      <c r="C901" s="2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</row>
    <row r="902" spans="1:42" ht="13.5" customHeight="1">
      <c r="A902" s="1"/>
      <c r="B902" s="1"/>
      <c r="C902" s="2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</row>
    <row r="903" spans="1:42" ht="13.5" customHeight="1">
      <c r="A903" s="1"/>
      <c r="B903" s="1"/>
      <c r="C903" s="2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</row>
    <row r="904" spans="1:42" ht="13.5" customHeight="1">
      <c r="A904" s="1"/>
      <c r="B904" s="1"/>
      <c r="C904" s="2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</row>
    <row r="905" spans="1:42" ht="13.5" customHeight="1">
      <c r="A905" s="1"/>
      <c r="B905" s="1"/>
      <c r="C905" s="2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</row>
    <row r="906" spans="1:42" ht="13.5" customHeight="1">
      <c r="A906" s="1"/>
      <c r="B906" s="1"/>
      <c r="C906" s="2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</row>
    <row r="907" spans="1:42" ht="13.5" customHeight="1">
      <c r="A907" s="1"/>
      <c r="B907" s="1"/>
      <c r="C907" s="2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</row>
    <row r="908" spans="1:42" ht="13.5" customHeight="1">
      <c r="A908" s="1"/>
      <c r="B908" s="1"/>
      <c r="C908" s="2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</row>
    <row r="909" spans="1:42" ht="13.5" customHeight="1">
      <c r="A909" s="1"/>
      <c r="B909" s="1"/>
      <c r="C909" s="2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</row>
    <row r="910" spans="1:42" ht="13.5" customHeight="1">
      <c r="A910" s="1"/>
      <c r="B910" s="1"/>
      <c r="C910" s="2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</row>
    <row r="911" spans="1:42" ht="13.5" customHeight="1">
      <c r="A911" s="1"/>
      <c r="B911" s="1"/>
      <c r="C911" s="2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</row>
    <row r="912" spans="1:42" ht="13.5" customHeight="1">
      <c r="A912" s="1"/>
      <c r="B912" s="1"/>
      <c r="C912" s="2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</row>
    <row r="913" spans="1:42" ht="13.5" customHeight="1">
      <c r="A913" s="1"/>
      <c r="B913" s="1"/>
      <c r="C913" s="2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</row>
    <row r="914" spans="1:42" ht="13.5" customHeight="1">
      <c r="A914" s="1"/>
      <c r="B914" s="1"/>
      <c r="C914" s="2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</row>
    <row r="915" spans="1:42" ht="13.5" customHeight="1">
      <c r="A915" s="1"/>
      <c r="B915" s="1"/>
      <c r="C915" s="2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</row>
    <row r="916" spans="1:42" ht="13.5" customHeight="1">
      <c r="A916" s="1"/>
      <c r="B916" s="1"/>
      <c r="C916" s="2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</row>
    <row r="917" spans="1:42" ht="13.5" customHeight="1">
      <c r="A917" s="1"/>
      <c r="B917" s="1"/>
      <c r="C917" s="2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</row>
    <row r="918" spans="1:42" ht="13.5" customHeight="1">
      <c r="A918" s="1"/>
      <c r="B918" s="1"/>
      <c r="C918" s="2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</row>
    <row r="919" spans="1:42" ht="13.5" customHeight="1">
      <c r="A919" s="1"/>
      <c r="B919" s="1"/>
      <c r="C919" s="2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</row>
    <row r="920" spans="1:42" ht="13.5" customHeight="1">
      <c r="A920" s="1"/>
      <c r="B920" s="1"/>
      <c r="C920" s="2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</row>
    <row r="921" spans="1:42" ht="13.5" customHeight="1">
      <c r="A921" s="1"/>
      <c r="B921" s="1"/>
      <c r="C921" s="2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</row>
    <row r="922" spans="1:42" ht="13.5" customHeight="1">
      <c r="A922" s="1"/>
      <c r="B922" s="1"/>
      <c r="C922" s="2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</row>
    <row r="923" spans="1:42" ht="13.5" customHeight="1">
      <c r="A923" s="1"/>
      <c r="B923" s="1"/>
      <c r="C923" s="2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</row>
    <row r="924" spans="1:42" ht="13.5" customHeight="1">
      <c r="A924" s="1"/>
      <c r="B924" s="1"/>
      <c r="C924" s="2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</row>
    <row r="925" spans="1:42" ht="13.5" customHeight="1">
      <c r="A925" s="1"/>
      <c r="B925" s="1"/>
      <c r="C925" s="2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</row>
    <row r="926" spans="1:42" ht="13.5" customHeight="1">
      <c r="A926" s="1"/>
      <c r="B926" s="1"/>
      <c r="C926" s="2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</row>
    <row r="927" spans="1:42" ht="13.5" customHeight="1">
      <c r="A927" s="1"/>
      <c r="B927" s="1"/>
      <c r="C927" s="2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</row>
    <row r="928" spans="1:42" ht="13.5" customHeight="1">
      <c r="A928" s="1"/>
      <c r="B928" s="1"/>
      <c r="C928" s="2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</row>
    <row r="929" spans="1:42" ht="13.5" customHeight="1">
      <c r="A929" s="1"/>
      <c r="B929" s="1"/>
      <c r="C929" s="2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</row>
    <row r="930" spans="1:42" ht="13.5" customHeight="1">
      <c r="A930" s="1"/>
      <c r="B930" s="1"/>
      <c r="C930" s="2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</row>
    <row r="931" spans="1:42" ht="13.5" customHeight="1">
      <c r="A931" s="1"/>
      <c r="B931" s="1"/>
      <c r="C931" s="2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</row>
    <row r="932" spans="1:42" ht="13.5" customHeight="1">
      <c r="A932" s="1"/>
      <c r="B932" s="1"/>
      <c r="C932" s="2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</row>
    <row r="933" spans="1:42" ht="13.5" customHeight="1">
      <c r="A933" s="1"/>
      <c r="B933" s="1"/>
      <c r="C933" s="2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</row>
    <row r="934" spans="1:42" ht="13.5" customHeight="1">
      <c r="A934" s="1"/>
      <c r="B934" s="1"/>
      <c r="C934" s="2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</row>
    <row r="935" spans="1:42" ht="13.5" customHeight="1">
      <c r="A935" s="1"/>
      <c r="B935" s="1"/>
      <c r="C935" s="2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</row>
    <row r="936" spans="1:42" ht="13.5" customHeight="1">
      <c r="A936" s="1"/>
      <c r="B936" s="1"/>
      <c r="C936" s="2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</row>
    <row r="937" spans="1:42" ht="13.5" customHeight="1">
      <c r="A937" s="1"/>
      <c r="B937" s="1"/>
      <c r="C937" s="2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</row>
    <row r="938" spans="1:42" ht="13.5" customHeight="1">
      <c r="A938" s="1"/>
      <c r="B938" s="1"/>
      <c r="C938" s="2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</row>
    <row r="939" spans="1:42" ht="13.5" customHeight="1">
      <c r="A939" s="1"/>
      <c r="B939" s="1"/>
      <c r="C939" s="2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</row>
    <row r="940" spans="1:42" ht="13.5" customHeight="1">
      <c r="A940" s="1"/>
      <c r="B940" s="1"/>
      <c r="C940" s="2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</row>
    <row r="941" spans="1:42" ht="13.5" customHeight="1">
      <c r="A941" s="1"/>
      <c r="B941" s="1"/>
      <c r="C941" s="2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</row>
    <row r="942" spans="1:42" ht="13.5" customHeight="1">
      <c r="A942" s="1"/>
      <c r="B942" s="1"/>
      <c r="C942" s="2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</row>
    <row r="943" spans="1:42" ht="13.5" customHeight="1">
      <c r="A943" s="1"/>
      <c r="B943" s="1"/>
      <c r="C943" s="2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</row>
    <row r="944" spans="1:42" ht="13.5" customHeight="1">
      <c r="A944" s="1"/>
      <c r="B944" s="1"/>
      <c r="C944" s="2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</row>
    <row r="945" spans="1:42" ht="13.5" customHeight="1">
      <c r="A945" s="1"/>
      <c r="B945" s="1"/>
      <c r="C945" s="2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</row>
    <row r="946" spans="1:42" ht="13.5" customHeight="1">
      <c r="A946" s="1"/>
      <c r="B946" s="1"/>
      <c r="C946" s="2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</row>
    <row r="947" spans="1:42" ht="13.5" customHeight="1">
      <c r="A947" s="1"/>
      <c r="B947" s="1"/>
      <c r="C947" s="2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</row>
    <row r="948" spans="1:42" ht="13.5" customHeight="1">
      <c r="A948" s="1"/>
      <c r="B948" s="1"/>
      <c r="C948" s="2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</row>
    <row r="949" spans="1:42" ht="13.5" customHeight="1">
      <c r="A949" s="1"/>
      <c r="B949" s="1"/>
      <c r="C949" s="2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</row>
    <row r="950" spans="1:42" ht="13.5" customHeight="1">
      <c r="A950" s="1"/>
      <c r="B950" s="1"/>
      <c r="C950" s="2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</row>
    <row r="951" spans="1:42" ht="13.5" customHeight="1">
      <c r="A951" s="1"/>
      <c r="B951" s="1"/>
      <c r="C951" s="2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</row>
    <row r="952" spans="1:42" ht="13.5" customHeight="1">
      <c r="A952" s="1"/>
      <c r="B952" s="1"/>
      <c r="C952" s="2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</row>
    <row r="953" spans="1:42" ht="13.5" customHeight="1">
      <c r="A953" s="1"/>
      <c r="B953" s="1"/>
      <c r="C953" s="2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</row>
    <row r="954" spans="1:42" ht="13.5" customHeight="1">
      <c r="A954" s="1"/>
      <c r="B954" s="1"/>
      <c r="C954" s="2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</row>
    <row r="955" spans="1:42" ht="13.5" customHeight="1">
      <c r="A955" s="1"/>
      <c r="B955" s="1"/>
      <c r="C955" s="2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</row>
    <row r="956" spans="1:42" ht="13.5" customHeight="1">
      <c r="A956" s="1"/>
      <c r="B956" s="1"/>
      <c r="C956" s="2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</row>
    <row r="957" spans="1:42" ht="13.5" customHeight="1">
      <c r="A957" s="1"/>
      <c r="B957" s="1"/>
      <c r="C957" s="2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</row>
    <row r="958" spans="1:42" ht="13.5" customHeight="1">
      <c r="A958" s="1"/>
      <c r="B958" s="1"/>
      <c r="C958" s="2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</row>
    <row r="959" spans="1:42" ht="13.5" customHeight="1">
      <c r="A959" s="1"/>
      <c r="B959" s="1"/>
      <c r="C959" s="2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</row>
    <row r="960" spans="1:42" ht="13.5" customHeight="1">
      <c r="A960" s="1"/>
      <c r="B960" s="1"/>
      <c r="C960" s="2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</row>
    <row r="961" spans="1:42" ht="13.5" customHeight="1">
      <c r="A961" s="1"/>
      <c r="B961" s="1"/>
      <c r="C961" s="2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</row>
    <row r="962" spans="1:42" ht="13.5" customHeight="1">
      <c r="A962" s="1"/>
      <c r="B962" s="1"/>
      <c r="C962" s="2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</row>
    <row r="963" spans="1:42" ht="13.5" customHeight="1">
      <c r="A963" s="1"/>
      <c r="B963" s="1"/>
      <c r="C963" s="2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</row>
    <row r="964" spans="1:42" ht="13.5" customHeight="1">
      <c r="A964" s="1"/>
      <c r="B964" s="1"/>
      <c r="C964" s="2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</row>
    <row r="965" spans="1:42" ht="13.5" customHeight="1">
      <c r="A965" s="1"/>
      <c r="B965" s="1"/>
      <c r="C965" s="2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</row>
    <row r="966" spans="1:42" ht="13.5" customHeight="1">
      <c r="A966" s="1"/>
      <c r="B966" s="1"/>
      <c r="C966" s="2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</row>
    <row r="967" spans="1:42" ht="13.5" customHeight="1">
      <c r="A967" s="1"/>
      <c r="B967" s="1"/>
      <c r="C967" s="2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</row>
    <row r="968" spans="1:42" ht="13.5" customHeight="1">
      <c r="A968" s="1"/>
      <c r="B968" s="1"/>
      <c r="C968" s="2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</row>
    <row r="969" spans="1:42" ht="13.5" customHeight="1">
      <c r="A969" s="1"/>
      <c r="B969" s="1"/>
      <c r="C969" s="2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</row>
    <row r="970" spans="1:42" ht="13.5" customHeight="1">
      <c r="A970" s="1"/>
      <c r="B970" s="1"/>
      <c r="C970" s="2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</row>
    <row r="971" spans="1:42" ht="13.5" customHeight="1">
      <c r="A971" s="1"/>
      <c r="B971" s="1"/>
      <c r="C971" s="2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</row>
    <row r="972" spans="1:42" ht="13.5" customHeight="1">
      <c r="A972" s="1"/>
      <c r="B972" s="1"/>
      <c r="C972" s="26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</row>
    <row r="973" spans="1:42" ht="13.5" customHeight="1">
      <c r="A973" s="1"/>
      <c r="B973" s="1"/>
      <c r="C973" s="2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</row>
    <row r="974" spans="1:42" ht="13.5" customHeight="1">
      <c r="A974" s="1"/>
      <c r="B974" s="1"/>
      <c r="C974" s="2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</row>
    <row r="975" spans="1:42" ht="13.5" customHeight="1">
      <c r="A975" s="1"/>
      <c r="B975" s="1"/>
      <c r="C975" s="26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</row>
    <row r="976" spans="1:42" ht="13.5" customHeight="1">
      <c r="A976" s="1"/>
      <c r="B976" s="1"/>
      <c r="C976" s="26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</row>
    <row r="977" spans="1:42" ht="13.5" customHeight="1">
      <c r="A977" s="1"/>
      <c r="B977" s="1"/>
      <c r="C977" s="26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</row>
    <row r="978" spans="1:42" ht="13.5" customHeight="1">
      <c r="A978" s="1"/>
      <c r="B978" s="1"/>
      <c r="C978" s="26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</row>
    <row r="979" spans="1:42" ht="13.5" customHeight="1">
      <c r="A979" s="1"/>
      <c r="B979" s="1"/>
      <c r="C979" s="26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</row>
    <row r="980" spans="1:42" ht="13.5" customHeight="1">
      <c r="A980" s="1"/>
      <c r="B980" s="1"/>
      <c r="C980" s="26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</row>
    <row r="981" spans="1:42" ht="13.5" customHeight="1">
      <c r="A981" s="1"/>
      <c r="B981" s="1"/>
      <c r="C981" s="26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</row>
    <row r="982" spans="1:42" ht="13.5" customHeight="1">
      <c r="A982" s="1"/>
      <c r="B982" s="1"/>
      <c r="C982" s="26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</row>
    <row r="983" spans="1:42" ht="13.5" customHeight="1">
      <c r="A983" s="1"/>
      <c r="B983" s="1"/>
      <c r="C983" s="26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</row>
    <row r="984" spans="1:42" ht="13.5" customHeight="1">
      <c r="A984" s="1"/>
      <c r="B984" s="1"/>
      <c r="C984" s="26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</row>
    <row r="985" spans="1:42" ht="13.5" customHeight="1">
      <c r="A985" s="1"/>
      <c r="B985" s="1"/>
      <c r="C985" s="26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</row>
    <row r="986" spans="1:42" ht="13.5" customHeight="1">
      <c r="A986" s="1"/>
      <c r="B986" s="1"/>
      <c r="C986" s="26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</row>
    <row r="987" spans="1:42" ht="13.5" customHeight="1">
      <c r="A987" s="1"/>
      <c r="B987" s="1"/>
      <c r="C987" s="26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</row>
    <row r="988" spans="1:42" ht="13.5" customHeight="1">
      <c r="A988" s="1"/>
      <c r="B988" s="1"/>
      <c r="C988" s="26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</row>
    <row r="989" spans="1:42" ht="13.5" customHeight="1">
      <c r="A989" s="1"/>
      <c r="B989" s="1"/>
      <c r="C989" s="26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</row>
    <row r="990" spans="1:42" ht="13.5" customHeight="1">
      <c r="A990" s="1"/>
      <c r="B990" s="1"/>
      <c r="C990" s="26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</row>
    <row r="991" spans="1:42" ht="13.5" customHeight="1">
      <c r="A991" s="1"/>
      <c r="B991" s="1"/>
      <c r="C991" s="26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</row>
    <row r="992" spans="1:42" ht="13.5" customHeight="1">
      <c r="A992" s="1"/>
      <c r="B992" s="1"/>
      <c r="C992" s="26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</row>
    <row r="993" spans="1:42" ht="13.5" customHeight="1">
      <c r="A993" s="1"/>
      <c r="B993" s="1"/>
      <c r="C993" s="26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</row>
    <row r="994" spans="1:42" ht="13.5" customHeight="1">
      <c r="A994" s="1"/>
      <c r="B994" s="1"/>
      <c r="C994" s="26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</row>
    <row r="995" spans="1:42" ht="13.5" customHeight="1">
      <c r="A995" s="1"/>
      <c r="B995" s="1"/>
      <c r="C995" s="26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</row>
    <row r="996" spans="1:42" ht="13.5" customHeight="1">
      <c r="A996" s="1"/>
      <c r="B996" s="1"/>
      <c r="C996" s="26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</row>
    <row r="997" spans="1:42" ht="13.5" customHeight="1">
      <c r="A997" s="1"/>
      <c r="B997" s="1"/>
      <c r="C997" s="26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</row>
    <row r="998" spans="1:42" ht="13.5" customHeight="1">
      <c r="A998" s="1"/>
      <c r="B998" s="1"/>
      <c r="C998" s="26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</row>
    <row r="999" spans="1:42" ht="13.5" customHeight="1">
      <c r="A999" s="1"/>
      <c r="B999" s="1"/>
      <c r="C999" s="26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</row>
    <row r="1000" spans="1:42" ht="13.5" customHeight="1">
      <c r="A1000" s="1"/>
      <c r="B1000" s="1"/>
      <c r="C1000" s="26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</row>
    <row r="1001" spans="1:42" ht="13.5" customHeight="1">
      <c r="A1001" s="1"/>
      <c r="B1001" s="1"/>
      <c r="C1001" s="26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</row>
    <row r="1002" spans="1:42" ht="13.5" customHeight="1">
      <c r="A1002" s="1"/>
      <c r="B1002" s="1"/>
      <c r="C1002" s="26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</row>
    <row r="1003" spans="1:42" ht="13.5" customHeight="1">
      <c r="A1003" s="1"/>
      <c r="B1003" s="1"/>
      <c r="C1003" s="26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</row>
    <row r="1004" spans="1:42" ht="13.5" customHeight="1">
      <c r="A1004" s="1"/>
      <c r="B1004" s="1"/>
      <c r="C1004" s="26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</row>
    <row r="1005" spans="1:42" ht="13.5" customHeight="1">
      <c r="A1005" s="1"/>
      <c r="B1005" s="1"/>
      <c r="C1005" s="26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</row>
    <row r="1006" spans="1:42" ht="13.5" customHeight="1">
      <c r="A1006" s="1"/>
      <c r="B1006" s="1"/>
      <c r="C1006" s="26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</row>
    <row r="1007" spans="1:42" ht="13.5" customHeight="1">
      <c r="A1007" s="1"/>
      <c r="B1007" s="1"/>
      <c r="C1007" s="26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</row>
    <row r="1008" spans="1:42" ht="13.5" customHeight="1">
      <c r="A1008" s="1"/>
      <c r="B1008" s="1"/>
      <c r="C1008" s="26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</row>
    <row r="1009" spans="1:42" ht="13.5" customHeight="1">
      <c r="A1009" s="1"/>
      <c r="B1009" s="1"/>
      <c r="C1009" s="26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</row>
    <row r="1010" spans="1:42" ht="13.5" customHeight="1">
      <c r="A1010" s="1"/>
      <c r="B1010" s="1"/>
      <c r="C1010" s="26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</row>
    <row r="1011" spans="1:42" ht="13.5" customHeight="1">
      <c r="A1011" s="1"/>
      <c r="B1011" s="1"/>
      <c r="C1011" s="26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</row>
    <row r="1012" spans="1:42" ht="13.5" customHeight="1">
      <c r="A1012" s="1"/>
      <c r="B1012" s="1"/>
      <c r="C1012" s="26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</row>
    <row r="1013" spans="1:42" ht="13.5" customHeight="1">
      <c r="A1013" s="1"/>
      <c r="B1013" s="1"/>
      <c r="C1013" s="26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</row>
    <row r="1014" spans="1:42" ht="13.5" customHeight="1">
      <c r="A1014" s="1"/>
      <c r="B1014" s="1"/>
      <c r="C1014" s="26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</row>
    <row r="1015" spans="1:42" ht="13.5" customHeight="1">
      <c r="A1015" s="1"/>
      <c r="B1015" s="1"/>
      <c r="C1015" s="26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</row>
    <row r="1016" spans="1:42" ht="13.5" customHeight="1">
      <c r="A1016" s="1"/>
      <c r="B1016" s="1"/>
      <c r="C1016" s="26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</row>
    <row r="1017" spans="1:42" ht="13.5" customHeight="1">
      <c r="A1017" s="1"/>
      <c r="B1017" s="1"/>
      <c r="C1017" s="26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</row>
    <row r="1018" spans="1:42" ht="13.5" customHeight="1">
      <c r="A1018" s="1"/>
      <c r="B1018" s="1"/>
      <c r="C1018" s="26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</row>
    <row r="1019" spans="1:42" ht="13.5" customHeight="1">
      <c r="A1019" s="1"/>
      <c r="B1019" s="1"/>
      <c r="C1019" s="26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</row>
    <row r="1020" spans="1:42" ht="13.5" customHeight="1">
      <c r="A1020" s="1"/>
      <c r="B1020" s="1"/>
      <c r="C1020" s="26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</row>
    <row r="1021" spans="1:42" ht="13.5" customHeight="1">
      <c r="A1021" s="1"/>
      <c r="B1021" s="1"/>
      <c r="C1021" s="26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</row>
    <row r="1022" spans="1:42" ht="13.5" customHeight="1">
      <c r="A1022" s="1"/>
      <c r="B1022" s="1"/>
      <c r="C1022" s="26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</row>
    <row r="1023" spans="1:42" ht="13.5" customHeight="1">
      <c r="A1023" s="1"/>
      <c r="B1023" s="1"/>
      <c r="C1023" s="26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</row>
    <row r="1024" spans="1:42" ht="13.5" customHeight="1">
      <c r="A1024" s="1"/>
      <c r="B1024" s="1"/>
      <c r="C1024" s="26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</row>
    <row r="1025" spans="1:42" ht="13.5" customHeight="1">
      <c r="A1025" s="1"/>
      <c r="B1025" s="1"/>
      <c r="C1025" s="26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</row>
    <row r="1026" spans="1:42" ht="13.5" customHeight="1">
      <c r="A1026" s="1"/>
      <c r="B1026" s="1"/>
      <c r="C1026" s="26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</row>
    <row r="1027" spans="1:42" ht="13.5" customHeight="1">
      <c r="A1027" s="1"/>
      <c r="B1027" s="1"/>
      <c r="C1027" s="26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</row>
    <row r="1028" spans="1:42" ht="13.5" customHeight="1">
      <c r="A1028" s="1"/>
      <c r="B1028" s="1"/>
      <c r="C1028" s="26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</row>
    <row r="1029" spans="1:42" ht="13.5" customHeight="1">
      <c r="A1029" s="1"/>
      <c r="B1029" s="1"/>
      <c r="C1029" s="26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</row>
    <row r="1030" spans="1:42" ht="13.5" customHeight="1">
      <c r="A1030" s="1"/>
      <c r="B1030" s="1"/>
      <c r="C1030" s="26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</row>
    <row r="1031" spans="1:42" ht="13.5" customHeight="1">
      <c r="A1031" s="1"/>
      <c r="B1031" s="1"/>
      <c r="C1031" s="26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</row>
    <row r="1032" spans="1:42" ht="13.5" customHeight="1">
      <c r="A1032" s="1"/>
      <c r="B1032" s="1"/>
      <c r="C1032" s="26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</row>
    <row r="1033" spans="1:42" ht="13.5" customHeight="1">
      <c r="A1033" s="1"/>
      <c r="B1033" s="1"/>
      <c r="C1033" s="26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</row>
    <row r="1034" spans="1:42" ht="13.5" customHeight="1">
      <c r="A1034" s="1"/>
      <c r="B1034" s="1"/>
      <c r="C1034" s="26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</row>
    <row r="1035" spans="1:42" ht="13.5" customHeight="1">
      <c r="A1035" s="1"/>
      <c r="B1035" s="1"/>
      <c r="C1035" s="26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</row>
    <row r="1036" spans="1:42" ht="13.5" customHeight="1">
      <c r="A1036" s="1"/>
      <c r="B1036" s="1"/>
      <c r="C1036" s="26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</row>
    <row r="1037" spans="1:42" ht="13.5" customHeight="1">
      <c r="A1037" s="1"/>
      <c r="B1037" s="1"/>
      <c r="C1037" s="26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</row>
    <row r="1038" spans="1:42" ht="13.5" customHeight="1">
      <c r="A1038" s="1"/>
      <c r="B1038" s="1"/>
      <c r="C1038" s="26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</row>
    <row r="1039" spans="1:42" ht="13.5" customHeight="1">
      <c r="A1039" s="1"/>
      <c r="B1039" s="1"/>
      <c r="C1039" s="26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</row>
    <row r="1040" spans="1:42" ht="13.5" customHeight="1">
      <c r="A1040" s="1"/>
      <c r="B1040" s="1"/>
      <c r="C1040" s="26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</row>
    <row r="1041" spans="1:42" ht="13.5" customHeight="1">
      <c r="A1041" s="1"/>
      <c r="B1041" s="1"/>
      <c r="C1041" s="26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</row>
    <row r="1042" spans="1:42" ht="13.5" customHeight="1">
      <c r="A1042" s="1"/>
      <c r="B1042" s="1"/>
      <c r="C1042" s="26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</row>
    <row r="1043" spans="1:42" ht="13.5" customHeight="1">
      <c r="A1043" s="1"/>
      <c r="B1043" s="1"/>
      <c r="C1043" s="26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</row>
    <row r="1044" spans="1:42" ht="13.5" customHeight="1">
      <c r="A1044" s="1"/>
      <c r="B1044" s="1"/>
      <c r="C1044" s="26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</row>
    <row r="1045" spans="1:42" ht="13.5" customHeight="1">
      <c r="A1045" s="1"/>
      <c r="B1045" s="1"/>
      <c r="C1045" s="26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</row>
    <row r="1046" spans="1:42" ht="13.5" customHeight="1">
      <c r="A1046" s="1"/>
      <c r="B1046" s="1"/>
      <c r="C1046" s="26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</row>
    <row r="1047" spans="1:42" ht="13.5" customHeight="1">
      <c r="A1047" s="1"/>
      <c r="B1047" s="1"/>
      <c r="C1047" s="26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</row>
    <row r="1048" spans="1:42" ht="13.5" customHeight="1">
      <c r="A1048" s="1"/>
      <c r="B1048" s="1"/>
      <c r="C1048" s="26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</row>
    <row r="1049" spans="1:42" ht="13.5" customHeight="1">
      <c r="A1049" s="1"/>
      <c r="B1049" s="1"/>
      <c r="C1049" s="26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</row>
    <row r="1050" spans="1:42" ht="13.5" customHeight="1">
      <c r="A1050" s="1"/>
      <c r="B1050" s="1"/>
      <c r="C1050" s="26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</row>
    <row r="1051" spans="1:42" ht="13.5" customHeight="1">
      <c r="A1051" s="1"/>
      <c r="B1051" s="1"/>
      <c r="C1051" s="26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</row>
    <row r="1052" spans="1:42" ht="13.5" customHeight="1">
      <c r="A1052" s="1"/>
      <c r="B1052" s="1"/>
      <c r="C1052" s="26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</row>
    <row r="1053" spans="1:42" ht="13.5" customHeight="1">
      <c r="A1053" s="1"/>
      <c r="B1053" s="1"/>
      <c r="C1053" s="26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</row>
    <row r="1054" spans="1:42" ht="13.5" customHeight="1">
      <c r="A1054" s="1"/>
      <c r="B1054" s="1"/>
      <c r="C1054" s="26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</row>
    <row r="1055" spans="1:42" ht="13.5" customHeight="1">
      <c r="A1055" s="1"/>
      <c r="B1055" s="1"/>
      <c r="C1055" s="26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</row>
    <row r="1056" spans="1:42" ht="13.5" customHeight="1">
      <c r="A1056" s="1"/>
      <c r="B1056" s="1"/>
      <c r="C1056" s="26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</row>
    <row r="1057" spans="1:42" ht="13.5" customHeight="1">
      <c r="A1057" s="1"/>
      <c r="B1057" s="1"/>
      <c r="C1057" s="26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</row>
    <row r="1058" spans="1:42" ht="13.5" customHeight="1">
      <c r="A1058" s="1"/>
      <c r="B1058" s="1"/>
      <c r="C1058" s="26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</row>
    <row r="1059" spans="1:42" ht="13.5" customHeight="1">
      <c r="A1059" s="1"/>
      <c r="B1059" s="1"/>
      <c r="C1059" s="26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</row>
    <row r="1060" spans="1:42" ht="13.5" customHeight="1">
      <c r="A1060" s="1"/>
      <c r="B1060" s="1"/>
      <c r="C1060" s="26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</row>
    <row r="1061" spans="1:42" ht="13.5" customHeight="1">
      <c r="A1061" s="1"/>
      <c r="B1061" s="1"/>
      <c r="C1061" s="26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</row>
    <row r="1062" spans="1:42" ht="13.5" customHeight="1">
      <c r="A1062" s="1"/>
      <c r="B1062" s="1"/>
      <c r="C1062" s="26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</row>
    <row r="1063" spans="1:42" ht="13.5" customHeight="1">
      <c r="A1063" s="1"/>
      <c r="B1063" s="1"/>
      <c r="C1063" s="26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</row>
    <row r="1064" spans="1:42" ht="13.5" customHeight="1">
      <c r="A1064" s="1"/>
      <c r="B1064" s="1"/>
      <c r="C1064" s="26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</row>
    <row r="1065" spans="1:42" ht="13.5" customHeight="1">
      <c r="A1065" s="1"/>
      <c r="B1065" s="1"/>
      <c r="C1065" s="26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</row>
    <row r="1066" spans="1:42" ht="13.5" customHeight="1">
      <c r="A1066" s="1"/>
      <c r="B1066" s="1"/>
      <c r="C1066" s="26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</row>
    <row r="1067" spans="1:42" ht="13.5" customHeight="1">
      <c r="A1067" s="1"/>
      <c r="B1067" s="1"/>
      <c r="C1067" s="26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</row>
    <row r="1068" spans="1:42" ht="13.5" customHeight="1">
      <c r="A1068" s="1"/>
      <c r="B1068" s="1"/>
      <c r="C1068" s="26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</row>
    <row r="1069" spans="1:42" ht="13.5" customHeight="1">
      <c r="A1069" s="1"/>
      <c r="B1069" s="1"/>
      <c r="C1069" s="26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</row>
    <row r="1070" spans="1:42" ht="13.5" customHeight="1">
      <c r="A1070" s="1"/>
      <c r="B1070" s="1"/>
      <c r="C1070" s="26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</row>
    <row r="1071" spans="1:42" ht="13.5" customHeight="1">
      <c r="A1071" s="1"/>
      <c r="B1071" s="1"/>
      <c r="C1071" s="26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</row>
    <row r="1072" spans="1:42" ht="13.5" customHeight="1">
      <c r="A1072" s="1"/>
      <c r="B1072" s="1"/>
      <c r="C1072" s="26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</row>
    <row r="1073" spans="1:42" ht="13.5" customHeight="1">
      <c r="A1073" s="1"/>
      <c r="B1073" s="1"/>
      <c r="C1073" s="26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</row>
    <row r="1074" spans="1:42" ht="13.5" customHeight="1">
      <c r="A1074" s="1"/>
      <c r="B1074" s="1"/>
      <c r="C1074" s="26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</row>
    <row r="1075" spans="1:42" ht="13.5" customHeight="1">
      <c r="A1075" s="1"/>
      <c r="B1075" s="1"/>
      <c r="C1075" s="26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</row>
    <row r="1076" spans="1:42" ht="13.5" customHeight="1">
      <c r="A1076" s="1"/>
      <c r="B1076" s="1"/>
      <c r="C1076" s="26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</row>
    <row r="1077" spans="1:42" ht="13.5" customHeight="1">
      <c r="A1077" s="1"/>
      <c r="B1077" s="1"/>
      <c r="C1077" s="26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</row>
    <row r="1078" spans="1:42" ht="13.5" customHeight="1">
      <c r="A1078" s="1"/>
      <c r="B1078" s="1"/>
      <c r="C1078" s="26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</row>
    <row r="1079" spans="1:42" ht="13.5" customHeight="1">
      <c r="A1079" s="1"/>
      <c r="B1079" s="1"/>
      <c r="C1079" s="26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</row>
    <row r="1080" spans="1:42" ht="13.5" customHeight="1">
      <c r="A1080" s="1"/>
      <c r="B1080" s="1"/>
      <c r="C1080" s="26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</row>
    <row r="1081" spans="1:42" ht="13.5" customHeight="1">
      <c r="A1081" s="1"/>
      <c r="B1081" s="1"/>
      <c r="C1081" s="26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</row>
    <row r="1082" spans="1:42" ht="13.5" customHeight="1">
      <c r="A1082" s="1"/>
      <c r="B1082" s="1"/>
      <c r="C1082" s="26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</row>
    <row r="1083" spans="1:42" ht="13.5" customHeight="1">
      <c r="A1083" s="1"/>
      <c r="B1083" s="1"/>
      <c r="C1083" s="26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</row>
    <row r="1084" spans="1:42" ht="13.5" customHeight="1">
      <c r="A1084" s="1"/>
      <c r="B1084" s="1"/>
      <c r="C1084" s="26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</row>
    <row r="1085" spans="1:42" ht="13.5" customHeight="1">
      <c r="A1085" s="1"/>
      <c r="B1085" s="1"/>
      <c r="C1085" s="26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</row>
    <row r="1086" spans="1:42" ht="13.5" customHeight="1">
      <c r="A1086" s="1"/>
      <c r="B1086" s="1"/>
      <c r="C1086" s="26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</row>
    <row r="1087" spans="1:42" ht="13.5" customHeight="1">
      <c r="A1087" s="1"/>
      <c r="B1087" s="1"/>
      <c r="C1087" s="26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</row>
    <row r="1088" spans="1:42" ht="13.5" customHeight="1">
      <c r="A1088" s="1"/>
      <c r="B1088" s="1"/>
      <c r="C1088" s="26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</row>
    <row r="1089" spans="1:42" ht="13.5" customHeight="1">
      <c r="A1089" s="1"/>
      <c r="B1089" s="1"/>
      <c r="C1089" s="26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</row>
    <row r="1090" spans="1:42" ht="13.5" customHeight="1">
      <c r="A1090" s="1"/>
      <c r="B1090" s="1"/>
      <c r="C1090" s="26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</row>
    <row r="1091" spans="1:42" ht="13.5" customHeight="1">
      <c r="A1091" s="1"/>
      <c r="B1091" s="1"/>
      <c r="C1091" s="26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</row>
    <row r="1092" spans="1:42" ht="13.5" customHeight="1">
      <c r="A1092" s="1"/>
      <c r="B1092" s="1"/>
      <c r="C1092" s="26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</row>
    <row r="1093" spans="1:42" ht="13.5" customHeight="1">
      <c r="A1093" s="1"/>
      <c r="B1093" s="1"/>
      <c r="C1093" s="26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</row>
    <row r="1094" spans="1:42" ht="13.5" customHeight="1">
      <c r="A1094" s="1"/>
      <c r="B1094" s="1"/>
      <c r="C1094" s="26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</row>
    <row r="1095" spans="1:42" ht="13.5" customHeight="1">
      <c r="A1095" s="1"/>
      <c r="B1095" s="1"/>
      <c r="C1095" s="26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</row>
    <row r="1096" spans="1:42" ht="13.5" customHeight="1">
      <c r="A1096" s="1"/>
      <c r="B1096" s="1"/>
      <c r="C1096" s="26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</row>
    <row r="1097" spans="1:42" ht="13.5" customHeight="1">
      <c r="A1097" s="1"/>
      <c r="B1097" s="1"/>
      <c r="C1097" s="26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</row>
    <row r="1098" spans="1:42" ht="13.5" customHeight="1">
      <c r="A1098" s="1"/>
      <c r="B1098" s="1"/>
      <c r="C1098" s="26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</row>
    <row r="1099" spans="1:42" ht="13.5" customHeight="1">
      <c r="A1099" s="1"/>
      <c r="B1099" s="1"/>
      <c r="C1099" s="26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</row>
    <row r="1100" spans="1:42" ht="13.5" customHeight="1">
      <c r="A1100" s="1"/>
      <c r="B1100" s="1"/>
      <c r="C1100" s="26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</row>
    <row r="1101" spans="1:42" ht="13.5" customHeight="1">
      <c r="A1101" s="1"/>
      <c r="B1101" s="1"/>
      <c r="C1101" s="26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</row>
    <row r="1102" spans="1:42" ht="13.5" customHeight="1">
      <c r="A1102" s="1"/>
      <c r="B1102" s="1"/>
      <c r="C1102" s="26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</row>
    <row r="1103" spans="1:42" ht="13.5" customHeight="1">
      <c r="A1103" s="1"/>
      <c r="B1103" s="1"/>
      <c r="C1103" s="26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</row>
    <row r="1104" spans="1:42" ht="13.5" customHeight="1">
      <c r="A1104" s="1"/>
      <c r="B1104" s="1"/>
      <c r="C1104" s="26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</row>
    <row r="1105" spans="1:42" ht="13.5" customHeight="1">
      <c r="A1105" s="1"/>
      <c r="B1105" s="1"/>
      <c r="C1105" s="26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</row>
    <row r="1106" spans="1:42" ht="13.5" customHeight="1">
      <c r="A1106" s="1"/>
      <c r="B1106" s="1"/>
      <c r="C1106" s="26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</row>
    <row r="1107" spans="1:42" ht="13.5" customHeight="1">
      <c r="A1107" s="1"/>
      <c r="B1107" s="1"/>
      <c r="C1107" s="26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</row>
    <row r="1108" spans="1:42" ht="13.5" customHeight="1">
      <c r="A1108" s="1"/>
      <c r="B1108" s="1"/>
      <c r="C1108" s="26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</row>
    <row r="1109" spans="1:42" ht="13.5" customHeight="1">
      <c r="A1109" s="1"/>
      <c r="B1109" s="1"/>
      <c r="C1109" s="26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</row>
    <row r="1110" spans="1:42" ht="13.5" customHeight="1">
      <c r="A1110" s="1"/>
      <c r="B1110" s="1"/>
      <c r="C1110" s="26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</row>
    <row r="1111" spans="1:42" ht="13.5" customHeight="1">
      <c r="A1111" s="1"/>
      <c r="B1111" s="1"/>
      <c r="C1111" s="26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</row>
    <row r="1112" spans="1:42" ht="13.5" customHeight="1">
      <c r="A1112" s="1"/>
      <c r="B1112" s="1"/>
      <c r="C1112" s="26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</row>
    <row r="1113" spans="1:42" ht="13.5" customHeight="1">
      <c r="A1113" s="1"/>
      <c r="B1113" s="1"/>
      <c r="C1113" s="26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</row>
    <row r="1114" spans="1:42" ht="13.5" customHeight="1">
      <c r="A1114" s="1"/>
      <c r="B1114" s="1"/>
      <c r="C1114" s="26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</row>
    <row r="1115" spans="1:42" ht="13.5" customHeight="1">
      <c r="A1115" s="1"/>
      <c r="B1115" s="1"/>
      <c r="C1115" s="26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</row>
    <row r="1116" spans="1:42" ht="13.5" customHeight="1">
      <c r="A1116" s="1"/>
      <c r="B1116" s="1"/>
      <c r="C1116" s="26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</row>
    <row r="1117" spans="1:42" ht="13.5" customHeight="1">
      <c r="A1117" s="1"/>
      <c r="B1117" s="1"/>
      <c r="C1117" s="26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</row>
    <row r="1118" spans="1:42" ht="13.5" customHeight="1">
      <c r="A1118" s="1"/>
      <c r="B1118" s="1"/>
      <c r="C1118" s="26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</row>
    <row r="1119" spans="1:42" ht="13.5" customHeight="1">
      <c r="A1119" s="1"/>
      <c r="B1119" s="1"/>
      <c r="C1119" s="26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</row>
    <row r="1120" spans="1:42" ht="13.5" customHeight="1">
      <c r="A1120" s="1"/>
      <c r="B1120" s="1"/>
      <c r="C1120" s="26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</row>
    <row r="1121" spans="1:42" ht="13.5" customHeight="1">
      <c r="A1121" s="1"/>
      <c r="B1121" s="1"/>
      <c r="C1121" s="26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</row>
    <row r="1122" spans="1:42" ht="13.5" customHeight="1">
      <c r="A1122" s="1"/>
      <c r="B1122" s="1"/>
      <c r="C1122" s="26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</row>
    <row r="1123" spans="1:42" ht="13.5" customHeight="1">
      <c r="A1123" s="1"/>
      <c r="B1123" s="1"/>
      <c r="C1123" s="26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</row>
    <row r="1124" spans="1:42" ht="13.5" customHeight="1">
      <c r="A1124" s="1"/>
      <c r="B1124" s="1"/>
      <c r="C1124" s="26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</row>
    <row r="1125" spans="1:42" ht="13.5" customHeight="1">
      <c r="A1125" s="1"/>
      <c r="B1125" s="1"/>
      <c r="C1125" s="26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</row>
    <row r="1126" spans="1:42" ht="13.5" customHeight="1">
      <c r="A1126" s="1"/>
      <c r="B1126" s="1"/>
      <c r="C1126" s="26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</row>
    <row r="1127" spans="1:42" ht="13.5" customHeight="1">
      <c r="A1127" s="1"/>
      <c r="B1127" s="1"/>
      <c r="C1127" s="26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</row>
    <row r="1128" spans="1:42" ht="13.5" customHeight="1">
      <c r="A1128" s="1"/>
      <c r="B1128" s="1"/>
      <c r="C1128" s="26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</row>
    <row r="1129" spans="1:42" ht="13.5" customHeight="1">
      <c r="A1129" s="1"/>
      <c r="B1129" s="1"/>
      <c r="C1129" s="26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</row>
    <row r="1130" spans="1:42" ht="13.5" customHeight="1">
      <c r="A1130" s="1"/>
      <c r="B1130" s="1"/>
      <c r="C1130" s="26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</row>
    <row r="1131" spans="1:42" ht="13.5" customHeight="1">
      <c r="A1131" s="1"/>
      <c r="B1131" s="1"/>
      <c r="C1131" s="26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</row>
    <row r="1132" spans="1:42" ht="13.5" customHeight="1">
      <c r="A1132" s="1"/>
      <c r="B1132" s="1"/>
      <c r="C1132" s="26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</row>
    <row r="1133" spans="1:42" ht="13.5" customHeight="1">
      <c r="A1133" s="1"/>
      <c r="B1133" s="1"/>
      <c r="C1133" s="26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</row>
    <row r="1134" spans="1:42" ht="13.5" customHeight="1">
      <c r="A1134" s="1"/>
      <c r="B1134" s="1"/>
      <c r="C1134" s="26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</row>
    <row r="1135" spans="1:42" ht="13.5" customHeight="1">
      <c r="A1135" s="1"/>
      <c r="B1135" s="1"/>
      <c r="C1135" s="26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</row>
    <row r="1136" spans="1:42" ht="13.5" customHeight="1">
      <c r="A1136" s="1"/>
      <c r="B1136" s="1"/>
      <c r="C1136" s="26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</row>
    <row r="1137" spans="1:42" ht="13.5" customHeight="1">
      <c r="A1137" s="1"/>
      <c r="B1137" s="1"/>
      <c r="C1137" s="26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</row>
    <row r="1138" spans="1:42" ht="13.5" customHeight="1">
      <c r="A1138" s="1"/>
      <c r="B1138" s="1"/>
      <c r="C1138" s="26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</row>
    <row r="1139" spans="1:42" ht="13.5" customHeight="1">
      <c r="A1139" s="1"/>
      <c r="B1139" s="1"/>
      <c r="C1139" s="26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</row>
    <row r="1140" spans="1:42" ht="13.5" customHeight="1">
      <c r="A1140" s="1"/>
      <c r="B1140" s="1"/>
      <c r="C1140" s="26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</row>
    <row r="1141" spans="1:42" ht="13.5" customHeight="1">
      <c r="A1141" s="1"/>
      <c r="B1141" s="1"/>
      <c r="C1141" s="26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</row>
    <row r="1142" spans="1:42" ht="13.5" customHeight="1">
      <c r="A1142" s="1"/>
      <c r="B1142" s="1"/>
      <c r="C1142" s="26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</row>
    <row r="1143" spans="1:42" ht="13.5" customHeight="1">
      <c r="A1143" s="1"/>
      <c r="B1143" s="1"/>
      <c r="C1143" s="26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</row>
    <row r="1144" spans="1:42" ht="13.5" customHeight="1">
      <c r="A1144" s="1"/>
      <c r="B1144" s="1"/>
      <c r="C1144" s="26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</row>
    <row r="1145" spans="1:42" ht="13.5" customHeight="1">
      <c r="A1145" s="1"/>
      <c r="B1145" s="1"/>
      <c r="C1145" s="26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</row>
    <row r="1146" spans="1:42" ht="13.5" customHeight="1">
      <c r="A1146" s="1"/>
      <c r="B1146" s="1"/>
      <c r="C1146" s="26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</row>
    <row r="1147" spans="1:42" ht="13.5" customHeight="1">
      <c r="A1147" s="1"/>
      <c r="B1147" s="1"/>
      <c r="C1147" s="26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</row>
    <row r="1148" spans="1:42" ht="13.5" customHeight="1">
      <c r="A1148" s="1"/>
      <c r="B1148" s="1"/>
      <c r="C1148" s="26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</row>
    <row r="1149" spans="1:42" ht="13.5" customHeight="1">
      <c r="A1149" s="1"/>
      <c r="B1149" s="1"/>
      <c r="C1149" s="26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</row>
    <row r="1150" spans="1:42" ht="13.5" customHeight="1">
      <c r="A1150" s="1"/>
      <c r="B1150" s="1"/>
      <c r="C1150" s="26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</row>
    <row r="1151" spans="1:42" ht="13.5" customHeight="1">
      <c r="A1151" s="1"/>
      <c r="B1151" s="1"/>
      <c r="C1151" s="26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</row>
    <row r="1152" spans="1:42" ht="13.5" customHeight="1">
      <c r="A1152" s="1"/>
      <c r="B1152" s="1"/>
      <c r="C1152" s="26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</row>
    <row r="1153" spans="1:42" ht="13.5" customHeight="1">
      <c r="A1153" s="1"/>
      <c r="B1153" s="1"/>
      <c r="C1153" s="26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</row>
    <row r="1154" spans="1:42" ht="13.5" customHeight="1">
      <c r="A1154" s="1"/>
      <c r="B1154" s="1"/>
      <c r="C1154" s="26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</row>
    <row r="1155" spans="1:42" ht="13.5" customHeight="1">
      <c r="A1155" s="1"/>
      <c r="B1155" s="1"/>
      <c r="C1155" s="26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</row>
    <row r="1156" spans="1:42" ht="13.5" customHeight="1">
      <c r="A1156" s="1"/>
      <c r="B1156" s="1"/>
      <c r="C1156" s="26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</row>
    <row r="1157" spans="1:42" ht="13.5" customHeight="1">
      <c r="A1157" s="1"/>
      <c r="B1157" s="1"/>
      <c r="C1157" s="26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</row>
    <row r="1158" spans="1:42" ht="13.5" customHeight="1">
      <c r="A1158" s="1"/>
      <c r="B1158" s="1"/>
      <c r="C1158" s="26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</row>
    <row r="1159" spans="1:42" ht="13.5" customHeight="1">
      <c r="A1159" s="1"/>
      <c r="B1159" s="1"/>
      <c r="C1159" s="26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</row>
    <row r="1160" spans="1:42" ht="13.5" customHeight="1">
      <c r="A1160" s="1"/>
      <c r="B1160" s="1"/>
      <c r="C1160" s="26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</row>
    <row r="1161" spans="1:42" ht="13.5" customHeight="1">
      <c r="A1161" s="1"/>
      <c r="B1161" s="1"/>
      <c r="C1161" s="26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</row>
    <row r="1162" spans="1:42" ht="13.5" customHeight="1">
      <c r="A1162" s="1"/>
      <c r="B1162" s="1"/>
      <c r="C1162" s="26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</row>
    <row r="1163" spans="1:42" ht="13.5" customHeight="1">
      <c r="A1163" s="1"/>
      <c r="B1163" s="1"/>
      <c r="C1163" s="26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</row>
    <row r="1164" spans="1:42" ht="13.5" customHeight="1">
      <c r="A1164" s="1"/>
      <c r="B1164" s="1"/>
      <c r="C1164" s="26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</row>
    <row r="1165" spans="1:42" ht="13.5" customHeight="1">
      <c r="A1165" s="1"/>
      <c r="B1165" s="1"/>
      <c r="C1165" s="26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</row>
    <row r="1166" spans="1:42" ht="13.5" customHeight="1">
      <c r="A1166" s="1"/>
      <c r="B1166" s="1"/>
      <c r="C1166" s="26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</row>
    <row r="1167" spans="1:42" ht="13.5" customHeight="1">
      <c r="A1167" s="1"/>
      <c r="B1167" s="1"/>
      <c r="C1167" s="26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</row>
    <row r="1168" spans="1:42" ht="13.5" customHeight="1">
      <c r="A1168" s="1"/>
      <c r="B1168" s="1"/>
      <c r="C1168" s="26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</row>
    <row r="1169" spans="1:42" ht="13.5" customHeight="1">
      <c r="A1169" s="1"/>
      <c r="B1169" s="1"/>
      <c r="C1169" s="26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</row>
    <row r="1170" spans="1:42" ht="13.5" customHeight="1">
      <c r="A1170" s="1"/>
      <c r="B1170" s="1"/>
      <c r="C1170" s="26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</row>
    <row r="1171" spans="1:42" ht="13.5" customHeight="1">
      <c r="A1171" s="1"/>
      <c r="B1171" s="1"/>
      <c r="C1171" s="26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</row>
    <row r="1172" spans="1:42" ht="13.5" customHeight="1">
      <c r="A1172" s="1"/>
      <c r="B1172" s="1"/>
      <c r="C1172" s="26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</row>
    <row r="1173" spans="1:42" ht="13.5" customHeight="1">
      <c r="A1173" s="1"/>
      <c r="B1173" s="1"/>
      <c r="C1173" s="26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</row>
    <row r="1174" spans="1:42" ht="13.5" customHeight="1">
      <c r="A1174" s="1"/>
      <c r="B1174" s="1"/>
      <c r="C1174" s="26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</row>
    <row r="1175" spans="1:42" ht="13.5" customHeight="1">
      <c r="A1175" s="1"/>
      <c r="B1175" s="1"/>
      <c r="C1175" s="26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</row>
    <row r="1176" spans="1:42" ht="13.5" customHeight="1">
      <c r="A1176" s="1"/>
      <c r="B1176" s="1"/>
      <c r="C1176" s="26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</row>
    <row r="1177" spans="1:42" ht="13.5" customHeight="1">
      <c r="A1177" s="1"/>
      <c r="B1177" s="1"/>
      <c r="C1177" s="26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</row>
    <row r="1178" spans="1:42" ht="13.5" customHeight="1">
      <c r="A1178" s="1"/>
      <c r="B1178" s="1"/>
      <c r="C1178" s="26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</row>
    <row r="1179" spans="1:42" ht="13.5" customHeight="1">
      <c r="A1179" s="1"/>
      <c r="B1179" s="1"/>
      <c r="C1179" s="26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</row>
    <row r="1180" spans="1:42" ht="13.5" customHeight="1">
      <c r="A1180" s="1"/>
      <c r="B1180" s="1"/>
      <c r="C1180" s="26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</row>
    <row r="1181" spans="1:42" ht="13.5" customHeight="1">
      <c r="A1181" s="1"/>
      <c r="B1181" s="1"/>
      <c r="C1181" s="26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</row>
    <row r="1182" spans="1:42" ht="13.5" customHeight="1">
      <c r="A1182" s="1"/>
      <c r="B1182" s="1"/>
      <c r="C1182" s="26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</row>
    <row r="1183" spans="1:42" ht="13.5" customHeight="1">
      <c r="A1183" s="1"/>
      <c r="B1183" s="1"/>
      <c r="C1183" s="26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</row>
    <row r="1184" spans="1:42" ht="13.5" customHeight="1">
      <c r="A1184" s="1"/>
      <c r="B1184" s="1"/>
      <c r="C1184" s="26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</row>
    <row r="1185" spans="1:42" ht="13.5" customHeight="1">
      <c r="A1185" s="1"/>
      <c r="B1185" s="1"/>
      <c r="C1185" s="26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</row>
    <row r="1186" spans="1:42" ht="13.5" customHeight="1">
      <c r="A1186" s="1"/>
      <c r="B1186" s="1"/>
      <c r="C1186" s="26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</row>
    <row r="1187" spans="1:42" ht="13.5" customHeight="1">
      <c r="A1187" s="1"/>
      <c r="B1187" s="1"/>
      <c r="C1187" s="26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</row>
    <row r="1188" spans="1:42" ht="13.5" customHeight="1">
      <c r="A1188" s="1"/>
      <c r="B1188" s="1"/>
      <c r="C1188" s="26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</row>
    <row r="1189" spans="1:42" ht="13.5" customHeight="1">
      <c r="A1189" s="1"/>
      <c r="B1189" s="1"/>
      <c r="C1189" s="26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</row>
    <row r="1190" spans="1:42" ht="13.5" customHeight="1">
      <c r="A1190" s="1"/>
      <c r="B1190" s="1"/>
      <c r="C1190" s="26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</row>
    <row r="1191" spans="1:42" ht="13.5" customHeight="1">
      <c r="A1191" s="1"/>
      <c r="B1191" s="1"/>
      <c r="C1191" s="26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</row>
    <row r="1192" spans="1:42" ht="13.5" customHeight="1">
      <c r="A1192" s="1"/>
      <c r="B1192" s="1"/>
      <c r="C1192" s="26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</row>
    <row r="1193" spans="1:42" ht="13.5" customHeight="1">
      <c r="A1193" s="1"/>
      <c r="B1193" s="1"/>
      <c r="C1193" s="26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</row>
    <row r="1194" spans="1:42" ht="13.5" customHeight="1">
      <c r="A1194" s="1"/>
      <c r="B1194" s="1"/>
      <c r="C1194" s="26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</row>
    <row r="1195" spans="1:42" ht="13.5" customHeight="1">
      <c r="A1195" s="1"/>
      <c r="B1195" s="1"/>
      <c r="C1195" s="26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</row>
    <row r="1196" spans="1:42" ht="13.5" customHeight="1">
      <c r="A1196" s="1"/>
      <c r="B1196" s="1"/>
      <c r="C1196" s="26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</row>
    <row r="1197" spans="1:42" ht="13.5" customHeight="1">
      <c r="A1197" s="1"/>
      <c r="B1197" s="1"/>
      <c r="C1197" s="26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</row>
    <row r="1198" spans="1:42" ht="13.5" customHeight="1">
      <c r="A1198" s="1"/>
      <c r="B1198" s="1"/>
      <c r="C1198" s="26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</row>
    <row r="1199" spans="1:42" ht="13.5" customHeight="1">
      <c r="A1199" s="1"/>
      <c r="B1199" s="1"/>
      <c r="C1199" s="26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</row>
    <row r="1200" spans="1:42" ht="13.5" customHeight="1">
      <c r="A1200" s="1"/>
      <c r="B1200" s="1"/>
      <c r="C1200" s="26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</row>
    <row r="1201" spans="1:42" ht="13.5" customHeight="1">
      <c r="A1201" s="1"/>
      <c r="B1201" s="1"/>
      <c r="C1201" s="26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</row>
    <row r="1202" spans="1:42" ht="13.5" customHeight="1">
      <c r="A1202" s="1"/>
      <c r="B1202" s="1"/>
      <c r="C1202" s="26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</row>
    <row r="1203" spans="1:42" ht="13.5" customHeight="1">
      <c r="A1203" s="1"/>
      <c r="B1203" s="1"/>
      <c r="C1203" s="26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</row>
    <row r="1204" spans="1:42" ht="13.5" customHeight="1">
      <c r="A1204" s="1"/>
      <c r="B1204" s="1"/>
      <c r="C1204" s="26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</row>
    <row r="1205" spans="1:42" ht="13.5" customHeight="1">
      <c r="A1205" s="1"/>
      <c r="B1205" s="1"/>
      <c r="C1205" s="26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</row>
    <row r="1206" spans="1:42" ht="13.5" customHeight="1">
      <c r="A1206" s="1"/>
      <c r="B1206" s="1"/>
      <c r="C1206" s="26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</row>
    <row r="1207" spans="1:42" ht="13.5" customHeight="1">
      <c r="A1207" s="1"/>
      <c r="B1207" s="1"/>
      <c r="C1207" s="26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</row>
    <row r="1208" spans="1:42" ht="13.5" customHeight="1">
      <c r="A1208" s="1"/>
      <c r="B1208" s="1"/>
      <c r="C1208" s="26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</row>
    <row r="1209" spans="1:42" ht="13.5" customHeight="1">
      <c r="A1209" s="1"/>
      <c r="B1209" s="1"/>
      <c r="C1209" s="26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</row>
    <row r="1210" spans="1:42" ht="13.5" customHeight="1">
      <c r="A1210" s="1"/>
      <c r="B1210" s="1"/>
      <c r="C1210" s="26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</row>
    <row r="1211" spans="1:42" ht="13.5" customHeight="1">
      <c r="A1211" s="1"/>
      <c r="B1211" s="1"/>
      <c r="C1211" s="26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</row>
    <row r="1212" spans="1:42" ht="13.5" customHeight="1">
      <c r="A1212" s="1"/>
      <c r="B1212" s="1"/>
      <c r="C1212" s="26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</row>
    <row r="1213" spans="1:42" ht="13.5" customHeight="1">
      <c r="A1213" s="1"/>
      <c r="B1213" s="1"/>
      <c r="C1213" s="26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</row>
    <row r="1214" spans="1:42" ht="13.5" customHeight="1">
      <c r="A1214" s="1"/>
      <c r="B1214" s="1"/>
      <c r="C1214" s="26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</row>
    <row r="1215" spans="1:42" ht="13.5" customHeight="1">
      <c r="A1215" s="1"/>
      <c r="B1215" s="1"/>
      <c r="C1215" s="26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</row>
    <row r="1216" spans="1:42" ht="13.5" customHeight="1">
      <c r="A1216" s="1"/>
      <c r="B1216" s="1"/>
      <c r="C1216" s="26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</row>
    <row r="1217" spans="1:42" ht="13.5" customHeight="1">
      <c r="A1217" s="1"/>
      <c r="B1217" s="1"/>
      <c r="C1217" s="26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</row>
    <row r="1218" spans="1:42" ht="13.5" customHeight="1">
      <c r="A1218" s="1"/>
      <c r="B1218" s="1"/>
      <c r="C1218" s="26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</row>
    <row r="1219" spans="1:42" ht="13.5" customHeight="1">
      <c r="A1219" s="1"/>
      <c r="B1219" s="1"/>
      <c r="C1219" s="26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</row>
    <row r="1220" spans="1:42" ht="13.5" customHeight="1">
      <c r="A1220" s="1"/>
      <c r="B1220" s="1"/>
      <c r="C1220" s="26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</row>
    <row r="1221" spans="1:42" ht="13.5" customHeight="1">
      <c r="A1221" s="1"/>
      <c r="B1221" s="1"/>
      <c r="C1221" s="26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</row>
    <row r="1222" spans="1:42" ht="13.5" customHeight="1">
      <c r="A1222" s="1"/>
      <c r="B1222" s="1"/>
      <c r="C1222" s="26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</row>
    <row r="1223" spans="1:42" ht="13.5" customHeight="1">
      <c r="A1223" s="1"/>
      <c r="B1223" s="1"/>
      <c r="C1223" s="26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</row>
    <row r="1224" spans="1:42" ht="13.5" customHeight="1">
      <c r="A1224" s="1"/>
      <c r="B1224" s="1"/>
      <c r="C1224" s="26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</row>
    <row r="1225" spans="1:42" ht="13.5" customHeight="1">
      <c r="A1225" s="1"/>
      <c r="B1225" s="1"/>
      <c r="C1225" s="26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</row>
    <row r="1226" spans="1:42" ht="13.5" customHeight="1">
      <c r="A1226" s="1"/>
      <c r="B1226" s="1"/>
      <c r="C1226" s="26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</row>
    <row r="1227" spans="1:42" ht="13.5" customHeight="1">
      <c r="A1227" s="1"/>
      <c r="B1227" s="1"/>
      <c r="C1227" s="26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</row>
    <row r="1228" spans="1:42" ht="13.5" customHeight="1">
      <c r="A1228" s="1"/>
      <c r="B1228" s="1"/>
      <c r="C1228" s="26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</row>
    <row r="1229" spans="1:42" ht="13.5" customHeight="1">
      <c r="A1229" s="1"/>
      <c r="B1229" s="1"/>
      <c r="C1229" s="26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</row>
    <row r="1230" spans="1:42" ht="13.5" customHeight="1">
      <c r="A1230" s="1"/>
      <c r="B1230" s="1"/>
      <c r="C1230" s="26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</row>
    <row r="1231" spans="1:42" ht="13.5" customHeight="1">
      <c r="A1231" s="1"/>
      <c r="B1231" s="1"/>
      <c r="C1231" s="26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</row>
    <row r="1232" spans="1:42" ht="13.5" customHeight="1">
      <c r="A1232" s="1"/>
      <c r="B1232" s="1"/>
      <c r="C1232" s="26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</row>
    <row r="1233" spans="1:42" ht="13.5" customHeight="1">
      <c r="A1233" s="1"/>
      <c r="B1233" s="1"/>
      <c r="C1233" s="26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</row>
    <row r="1234" spans="1:42" ht="13.5" customHeight="1">
      <c r="A1234" s="1"/>
      <c r="B1234" s="1"/>
      <c r="C1234" s="26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</row>
    <row r="1235" spans="1:42" ht="13.5" customHeight="1">
      <c r="A1235" s="1"/>
      <c r="B1235" s="1"/>
      <c r="C1235" s="26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</row>
    <row r="1236" spans="1:42" ht="13.5" customHeight="1">
      <c r="A1236" s="1"/>
      <c r="B1236" s="1"/>
      <c r="C1236" s="26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</row>
    <row r="1237" spans="1:42" ht="13.5" customHeight="1">
      <c r="A1237" s="1"/>
      <c r="B1237" s="1"/>
      <c r="C1237" s="26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</row>
    <row r="1238" spans="1:42" ht="13.5" customHeight="1">
      <c r="A1238" s="1"/>
      <c r="B1238" s="1"/>
      <c r="C1238" s="26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</row>
    <row r="1239" spans="1:42" ht="13.5" customHeight="1">
      <c r="A1239" s="1"/>
      <c r="B1239" s="1"/>
      <c r="C1239" s="26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</row>
    <row r="1240" spans="1:42" ht="13.5" customHeight="1">
      <c r="A1240" s="1"/>
      <c r="B1240" s="1"/>
      <c r="C1240" s="26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</row>
    <row r="1241" spans="1:42" ht="13.5" customHeight="1">
      <c r="A1241" s="1"/>
      <c r="B1241" s="1"/>
      <c r="C1241" s="26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</row>
    <row r="1242" spans="1:42" ht="13.5" customHeight="1">
      <c r="A1242" s="1"/>
      <c r="B1242" s="1"/>
      <c r="C1242" s="26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</row>
    <row r="1243" spans="1:42" ht="13.5" customHeight="1">
      <c r="A1243" s="1"/>
      <c r="B1243" s="1"/>
      <c r="C1243" s="26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</row>
    <row r="1244" spans="1:42" ht="13.5" customHeight="1">
      <c r="A1244" s="1"/>
      <c r="B1244" s="1"/>
      <c r="C1244" s="26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</row>
    <row r="1245" spans="1:42" ht="13.5" customHeight="1">
      <c r="A1245" s="1"/>
      <c r="B1245" s="1"/>
      <c r="C1245" s="26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</row>
    <row r="1246" spans="1:42" ht="13.5" customHeight="1">
      <c r="A1246" s="1"/>
      <c r="B1246" s="1"/>
      <c r="C1246" s="26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</row>
    <row r="1247" spans="1:42" ht="13.5" customHeight="1">
      <c r="A1247" s="1"/>
      <c r="B1247" s="1"/>
      <c r="C1247" s="26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</row>
    <row r="1248" spans="1:42" ht="13.5" customHeight="1">
      <c r="A1248" s="1"/>
      <c r="B1248" s="1"/>
      <c r="C1248" s="26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</row>
    <row r="1249" spans="1:42" ht="13.5" customHeight="1">
      <c r="A1249" s="1"/>
      <c r="B1249" s="1"/>
      <c r="C1249" s="26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</row>
    <row r="1250" spans="1:42" ht="13.5" customHeight="1">
      <c r="A1250" s="1"/>
      <c r="B1250" s="1"/>
      <c r="C1250" s="26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</row>
    <row r="1251" spans="1:42" ht="13.5" customHeight="1">
      <c r="A1251" s="1"/>
      <c r="B1251" s="1"/>
      <c r="C1251" s="26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</row>
    <row r="1252" spans="1:42" ht="13.5" customHeight="1">
      <c r="A1252" s="1"/>
      <c r="B1252" s="1"/>
      <c r="C1252" s="26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</row>
    <row r="1253" spans="1:42" ht="13.5" customHeight="1">
      <c r="A1253" s="1"/>
      <c r="B1253" s="1"/>
      <c r="C1253" s="26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</row>
    <row r="1254" spans="1:42" ht="13.5" customHeight="1">
      <c r="A1254" s="1"/>
      <c r="B1254" s="1"/>
      <c r="C1254" s="26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</row>
    <row r="1255" spans="1:42" ht="13.5" customHeight="1">
      <c r="A1255" s="1"/>
      <c r="B1255" s="1"/>
      <c r="C1255" s="26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</row>
    <row r="1256" spans="1:42" ht="13.5" customHeight="1">
      <c r="A1256" s="1"/>
      <c r="B1256" s="1"/>
      <c r="C1256" s="26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</row>
    <row r="1257" spans="1:42" ht="13.5" customHeight="1">
      <c r="A1257" s="1"/>
      <c r="B1257" s="1"/>
      <c r="C1257" s="26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</row>
    <row r="1258" spans="1:42" ht="13.5" customHeight="1">
      <c r="A1258" s="1"/>
      <c r="B1258" s="1"/>
      <c r="C1258" s="26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</row>
    <row r="1259" spans="1:42" ht="13.5" customHeight="1">
      <c r="A1259" s="1"/>
      <c r="B1259" s="1"/>
      <c r="C1259" s="26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</row>
    <row r="1260" spans="1:42" ht="13.5" customHeight="1">
      <c r="A1260" s="1"/>
      <c r="B1260" s="1"/>
      <c r="C1260" s="26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</row>
    <row r="1261" spans="1:42" ht="13.5" customHeight="1">
      <c r="A1261" s="1"/>
      <c r="B1261" s="1"/>
      <c r="C1261" s="26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</row>
    <row r="1262" spans="1:42" ht="13.5" customHeight="1">
      <c r="A1262" s="1"/>
      <c r="B1262" s="1"/>
      <c r="C1262" s="26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</row>
    <row r="1263" spans="1:42" ht="13.5" customHeight="1">
      <c r="A1263" s="1"/>
      <c r="B1263" s="1"/>
      <c r="C1263" s="26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</row>
    <row r="1264" spans="1:42" ht="13.5" customHeight="1">
      <c r="A1264" s="1"/>
      <c r="B1264" s="1"/>
      <c r="C1264" s="26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</row>
    <row r="1265" spans="1:42" ht="13.5" customHeight="1">
      <c r="A1265" s="1"/>
      <c r="B1265" s="1"/>
      <c r="C1265" s="26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</row>
    <row r="1266" spans="1:42" ht="13.5" customHeight="1">
      <c r="A1266" s="1"/>
      <c r="B1266" s="1"/>
      <c r="C1266" s="26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</row>
    <row r="1267" spans="1:42" ht="13.5" customHeight="1">
      <c r="A1267" s="1"/>
      <c r="B1267" s="1"/>
      <c r="C1267" s="26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</row>
    <row r="1268" spans="1:42" ht="13.5" customHeight="1">
      <c r="A1268" s="1"/>
      <c r="B1268" s="1"/>
      <c r="C1268" s="26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</row>
    <row r="1269" spans="1:42" ht="13.5" customHeight="1">
      <c r="A1269" s="1"/>
      <c r="B1269" s="1"/>
      <c r="C1269" s="26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</row>
    <row r="1270" spans="1:42" ht="13.5" customHeight="1">
      <c r="A1270" s="1"/>
      <c r="B1270" s="1"/>
      <c r="C1270" s="26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</row>
    <row r="1271" spans="1:42" ht="13.5" customHeight="1">
      <c r="A1271" s="1"/>
      <c r="B1271" s="1"/>
      <c r="C1271" s="26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</row>
    <row r="1272" spans="1:42" ht="13.5" customHeight="1">
      <c r="A1272" s="1"/>
      <c r="B1272" s="1"/>
      <c r="C1272" s="26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</row>
    <row r="1273" spans="1:42" ht="13.5" customHeight="1">
      <c r="A1273" s="1"/>
      <c r="B1273" s="1"/>
      <c r="C1273" s="26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</row>
    <row r="1274" spans="1:42" ht="13.5" customHeight="1">
      <c r="A1274" s="1"/>
      <c r="B1274" s="1"/>
      <c r="C1274" s="26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</row>
    <row r="1275" spans="1:42" ht="13.5" customHeight="1">
      <c r="A1275" s="1"/>
      <c r="B1275" s="1"/>
      <c r="C1275" s="26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</row>
    <row r="1276" spans="1:42" ht="13.5" customHeight="1">
      <c r="A1276" s="1"/>
      <c r="B1276" s="1"/>
      <c r="C1276" s="26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</row>
    <row r="1277" spans="1:42" ht="13.5" customHeight="1">
      <c r="A1277" s="1"/>
      <c r="B1277" s="1"/>
      <c r="C1277" s="26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</row>
    <row r="1278" spans="1:42" ht="13.5" customHeight="1">
      <c r="A1278" s="1"/>
      <c r="B1278" s="1"/>
      <c r="C1278" s="26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</row>
    <row r="1279" spans="1:42" ht="13.5" customHeight="1">
      <c r="A1279" s="1"/>
      <c r="B1279" s="1"/>
      <c r="C1279" s="26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</row>
    <row r="1280" spans="1:42" ht="13.5" customHeight="1">
      <c r="A1280" s="1"/>
      <c r="B1280" s="1"/>
      <c r="C1280" s="26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</row>
    <row r="1281" spans="1:42" ht="13.5" customHeight="1">
      <c r="A1281" s="1"/>
      <c r="B1281" s="1"/>
      <c r="C1281" s="26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</row>
    <row r="1282" spans="1:42" ht="13.5" customHeight="1">
      <c r="A1282" s="1"/>
      <c r="B1282" s="1"/>
      <c r="C1282" s="26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</row>
    <row r="1283" spans="1:42" ht="13.5" customHeight="1">
      <c r="A1283" s="1"/>
      <c r="B1283" s="1"/>
      <c r="C1283" s="26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</row>
    <row r="1284" spans="1:42" ht="13.5" customHeight="1">
      <c r="A1284" s="1"/>
      <c r="B1284" s="1"/>
      <c r="C1284" s="26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</row>
    <row r="1285" spans="1:42" ht="13.5" customHeight="1">
      <c r="A1285" s="1"/>
      <c r="B1285" s="1"/>
      <c r="C1285" s="26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</row>
    <row r="1286" spans="1:42" ht="13.5" customHeight="1">
      <c r="A1286" s="1"/>
      <c r="B1286" s="1"/>
      <c r="C1286" s="26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</row>
    <row r="1287" spans="1:42" ht="13.5" customHeight="1">
      <c r="A1287" s="1"/>
      <c r="B1287" s="1"/>
      <c r="C1287" s="26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</row>
    <row r="1288" spans="1:42" ht="13.5" customHeight="1">
      <c r="A1288" s="1"/>
      <c r="B1288" s="1"/>
      <c r="C1288" s="26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</row>
    <row r="1289" spans="1:42" ht="13.5" customHeight="1">
      <c r="A1289" s="1"/>
      <c r="B1289" s="1"/>
      <c r="C1289" s="26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</row>
    <row r="1290" spans="1:42" ht="13.5" customHeight="1">
      <c r="A1290" s="1"/>
      <c r="B1290" s="1"/>
      <c r="C1290" s="26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</row>
    <row r="1291" spans="1:42" ht="13.5" customHeight="1">
      <c r="A1291" s="1"/>
      <c r="B1291" s="1"/>
      <c r="C1291" s="26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</row>
    <row r="1292" spans="1:42" ht="13.5" customHeight="1">
      <c r="A1292" s="1"/>
      <c r="B1292" s="1"/>
      <c r="C1292" s="26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</row>
    <row r="1293" spans="1:42" ht="13.5" customHeight="1">
      <c r="A1293" s="1"/>
      <c r="B1293" s="1"/>
      <c r="C1293" s="26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</row>
    <row r="1294" spans="1:42" ht="13.5" customHeight="1">
      <c r="A1294" s="1"/>
      <c r="B1294" s="1"/>
      <c r="C1294" s="26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</row>
    <row r="1295" spans="1:42" ht="13.5" customHeight="1">
      <c r="A1295" s="1"/>
      <c r="B1295" s="1"/>
      <c r="C1295" s="26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</row>
    <row r="1296" spans="1:42" ht="13.5" customHeight="1">
      <c r="A1296" s="1"/>
      <c r="B1296" s="1"/>
      <c r="C1296" s="26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</row>
    <row r="1297" spans="1:42" ht="13.5" customHeight="1">
      <c r="A1297" s="1"/>
      <c r="B1297" s="1"/>
      <c r="C1297" s="26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</row>
    <row r="1298" spans="1:42" ht="13.5" customHeight="1">
      <c r="A1298" s="1"/>
      <c r="B1298" s="1"/>
      <c r="C1298" s="26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</row>
    <row r="1299" spans="1:42" ht="13.5" customHeight="1">
      <c r="A1299" s="1"/>
      <c r="B1299" s="1"/>
      <c r="C1299" s="26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</row>
    <row r="1300" spans="1:42" ht="13.5" customHeight="1">
      <c r="A1300" s="1"/>
      <c r="B1300" s="1"/>
      <c r="C1300" s="26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</row>
    <row r="1301" spans="1:42" ht="13.5" customHeight="1">
      <c r="A1301" s="1"/>
      <c r="B1301" s="1"/>
      <c r="C1301" s="26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</row>
    <row r="1302" spans="1:42" ht="13.5" customHeight="1">
      <c r="A1302" s="1"/>
      <c r="B1302" s="1"/>
      <c r="C1302" s="26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</row>
    <row r="1303" spans="1:42" ht="13.5" customHeight="1">
      <c r="A1303" s="1"/>
      <c r="B1303" s="1"/>
      <c r="C1303" s="26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</row>
    <row r="1304" spans="1:42" ht="13.5" customHeight="1">
      <c r="A1304" s="1"/>
      <c r="B1304" s="1"/>
      <c r="C1304" s="26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</row>
    <row r="1305" spans="1:42" ht="13.5" customHeight="1">
      <c r="A1305" s="1"/>
      <c r="B1305" s="1"/>
      <c r="C1305" s="26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</row>
    <row r="1306" spans="1:42" ht="13.5" customHeight="1">
      <c r="A1306" s="1"/>
      <c r="B1306" s="1"/>
      <c r="C1306" s="26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</row>
    <row r="1307" spans="1:42" ht="13.5" customHeight="1">
      <c r="A1307" s="1"/>
      <c r="B1307" s="1"/>
      <c r="C1307" s="26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</row>
    <row r="1308" spans="1:42" ht="13.5" customHeight="1">
      <c r="A1308" s="1"/>
      <c r="B1308" s="1"/>
      <c r="C1308" s="26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</row>
    <row r="1309" spans="1:42" ht="13.5" customHeight="1">
      <c r="A1309" s="1"/>
      <c r="B1309" s="1"/>
      <c r="C1309" s="26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</row>
    <row r="1310" spans="1:42" ht="13.5" customHeight="1">
      <c r="A1310" s="1"/>
      <c r="B1310" s="1"/>
      <c r="C1310" s="26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</row>
    <row r="1311" spans="1:42" ht="13.5" customHeight="1">
      <c r="A1311" s="1"/>
      <c r="B1311" s="1"/>
      <c r="C1311" s="26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</row>
    <row r="1312" spans="1:42" ht="13.5" customHeight="1">
      <c r="A1312" s="1"/>
      <c r="B1312" s="1"/>
      <c r="C1312" s="26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</row>
    <row r="1313" spans="1:42" ht="13.5" customHeight="1">
      <c r="A1313" s="1"/>
      <c r="B1313" s="1"/>
      <c r="C1313" s="26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</row>
    <row r="1314" spans="1:42" ht="13.5" customHeight="1">
      <c r="A1314" s="1"/>
      <c r="B1314" s="1"/>
      <c r="C1314" s="26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</row>
    <row r="1315" spans="1:42" ht="13.5" customHeight="1">
      <c r="A1315" s="1"/>
      <c r="B1315" s="1"/>
      <c r="C1315" s="26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</row>
    <row r="1316" spans="1:42" ht="13.5" customHeight="1">
      <c r="A1316" s="1"/>
      <c r="B1316" s="1"/>
      <c r="C1316" s="26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</row>
    <row r="1317" spans="1:42" ht="13.5" customHeight="1">
      <c r="A1317" s="1"/>
      <c r="B1317" s="1"/>
      <c r="C1317" s="26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</row>
    <row r="1318" spans="1:42" ht="13.5" customHeight="1">
      <c r="A1318" s="1"/>
      <c r="B1318" s="1"/>
      <c r="C1318" s="26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</row>
    <row r="1319" spans="1:42" ht="13.5" customHeight="1">
      <c r="A1319" s="1"/>
      <c r="B1319" s="1"/>
      <c r="C1319" s="26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</row>
    <row r="1320" spans="1:42" ht="13.5" customHeight="1">
      <c r="A1320" s="1"/>
      <c r="B1320" s="1"/>
      <c r="C1320" s="26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</row>
    <row r="1321" spans="1:42" ht="13.5" customHeight="1">
      <c r="A1321" s="1"/>
      <c r="B1321" s="1"/>
      <c r="C1321" s="26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</row>
    <row r="1322" spans="1:42" ht="13.5" customHeight="1">
      <c r="A1322" s="1"/>
      <c r="B1322" s="1"/>
      <c r="C1322" s="26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</row>
    <row r="1323" spans="1:42" ht="13.5" customHeight="1">
      <c r="A1323" s="1"/>
      <c r="B1323" s="1"/>
      <c r="C1323" s="26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</row>
    <row r="1324" spans="1:42" ht="13.5" customHeight="1">
      <c r="A1324" s="1"/>
      <c r="B1324" s="1"/>
      <c r="C1324" s="26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</row>
    <row r="1325" spans="1:42" ht="13.5" customHeight="1">
      <c r="A1325" s="1"/>
      <c r="B1325" s="1"/>
      <c r="C1325" s="26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</row>
    <row r="1326" spans="1:42" ht="13.5" customHeight="1">
      <c r="A1326" s="1"/>
      <c r="B1326" s="1"/>
      <c r="C1326" s="26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</row>
    <row r="1327" spans="1:42" ht="13.5" customHeight="1">
      <c r="A1327" s="1"/>
      <c r="B1327" s="1"/>
      <c r="C1327" s="26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</row>
    <row r="1328" spans="1:42" ht="13.5" customHeight="1">
      <c r="A1328" s="1"/>
      <c r="B1328" s="1"/>
      <c r="C1328" s="26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</row>
    <row r="1329" spans="1:42" ht="13.5" customHeight="1">
      <c r="A1329" s="1"/>
      <c r="B1329" s="1"/>
      <c r="C1329" s="26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</row>
    <row r="1330" spans="1:42" ht="13.5" customHeight="1">
      <c r="A1330" s="1"/>
      <c r="B1330" s="1"/>
      <c r="C1330" s="26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</row>
    <row r="1331" spans="1:42" ht="13.5" customHeight="1">
      <c r="A1331" s="1"/>
      <c r="B1331" s="1"/>
      <c r="C1331" s="26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</row>
    <row r="1332" spans="1:42" ht="13.5" customHeight="1">
      <c r="A1332" s="1"/>
      <c r="B1332" s="1"/>
      <c r="C1332" s="26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</row>
    <row r="1333" spans="1:42" ht="13.5" customHeight="1">
      <c r="A1333" s="1"/>
      <c r="B1333" s="1"/>
      <c r="C1333" s="26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</row>
    <row r="1334" spans="1:42" ht="13.5" customHeight="1">
      <c r="A1334" s="1"/>
      <c r="B1334" s="1"/>
      <c r="C1334" s="26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</row>
    <row r="1335" spans="1:42" ht="13.5" customHeight="1">
      <c r="A1335" s="1"/>
      <c r="B1335" s="1"/>
      <c r="C1335" s="26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</row>
    <row r="1336" spans="1:42" ht="13.5" customHeight="1">
      <c r="A1336" s="1"/>
      <c r="B1336" s="1"/>
      <c r="C1336" s="26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</row>
    <row r="1337" spans="1:42" ht="13.5" customHeight="1">
      <c r="A1337" s="1"/>
      <c r="B1337" s="1"/>
      <c r="C1337" s="26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</row>
    <row r="1338" spans="1:42" ht="13.5" customHeight="1">
      <c r="A1338" s="1"/>
      <c r="B1338" s="1"/>
      <c r="C1338" s="26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</row>
    <row r="1339" spans="1:42" ht="13.5" customHeight="1">
      <c r="A1339" s="1"/>
      <c r="B1339" s="1"/>
      <c r="C1339" s="26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</row>
    <row r="1340" spans="1:42" ht="13.5" customHeight="1">
      <c r="A1340" s="1"/>
      <c r="B1340" s="1"/>
      <c r="C1340" s="26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</row>
    <row r="1341" spans="1:42" ht="13.5" customHeight="1">
      <c r="A1341" s="1"/>
      <c r="B1341" s="1"/>
      <c r="C1341" s="26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</row>
    <row r="1342" spans="1:42" ht="13.5" customHeight="1">
      <c r="A1342" s="1"/>
      <c r="B1342" s="1"/>
      <c r="C1342" s="26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</row>
    <row r="1343" spans="1:42" ht="13.5" customHeight="1">
      <c r="A1343" s="1"/>
      <c r="B1343" s="1"/>
      <c r="C1343" s="26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</row>
    <row r="1344" spans="1:42" ht="13.5" customHeight="1">
      <c r="A1344" s="1"/>
      <c r="B1344" s="1"/>
      <c r="C1344" s="26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</row>
    <row r="1345" spans="1:42" ht="13.5" customHeight="1">
      <c r="A1345" s="1"/>
      <c r="B1345" s="1"/>
      <c r="C1345" s="26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</row>
    <row r="1346" spans="1:42" ht="13.5" customHeight="1">
      <c r="A1346" s="1"/>
      <c r="B1346" s="1"/>
      <c r="C1346" s="26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</row>
    <row r="1347" spans="1:42" ht="13.5" customHeight="1">
      <c r="A1347" s="1"/>
      <c r="B1347" s="1"/>
      <c r="C1347" s="26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</row>
    <row r="1348" spans="1:42" ht="13.5" customHeight="1">
      <c r="A1348" s="1"/>
      <c r="B1348" s="1"/>
      <c r="C1348" s="26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</row>
    <row r="1349" spans="1:42" ht="13.5" customHeight="1">
      <c r="A1349" s="1"/>
      <c r="B1349" s="1"/>
      <c r="C1349" s="26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</row>
    <row r="1350" spans="1:42" ht="13.5" customHeight="1">
      <c r="A1350" s="1"/>
      <c r="B1350" s="1"/>
      <c r="C1350" s="26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</row>
    <row r="1351" spans="1:42" ht="13.5" customHeight="1">
      <c r="A1351" s="1"/>
      <c r="B1351" s="1"/>
      <c r="C1351" s="26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</row>
    <row r="1352" spans="1:42" ht="13.5" customHeight="1">
      <c r="A1352" s="1"/>
      <c r="B1352" s="1"/>
      <c r="C1352" s="26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</row>
    <row r="1353" spans="1:42" ht="13.5" customHeight="1">
      <c r="A1353" s="1"/>
      <c r="B1353" s="1"/>
      <c r="C1353" s="26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</row>
    <row r="1354" spans="1:42" ht="13.5" customHeight="1">
      <c r="A1354" s="1"/>
      <c r="B1354" s="1"/>
      <c r="C1354" s="26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</row>
    <row r="1355" spans="1:42" ht="13.5" customHeight="1">
      <c r="A1355" s="1"/>
      <c r="B1355" s="1"/>
      <c r="C1355" s="26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</row>
    <row r="1356" spans="1:42" ht="13.5" customHeight="1">
      <c r="A1356" s="1"/>
      <c r="B1356" s="1"/>
      <c r="C1356" s="26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</row>
    <row r="1357" spans="1:42" ht="13.5" customHeight="1">
      <c r="A1357" s="1"/>
      <c r="B1357" s="1"/>
      <c r="C1357" s="26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</row>
    <row r="1358" spans="1:42" ht="13.5" customHeight="1">
      <c r="A1358" s="1"/>
      <c r="B1358" s="1"/>
      <c r="C1358" s="26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</row>
    <row r="1359" spans="1:42" ht="13.5" customHeight="1">
      <c r="A1359" s="1"/>
      <c r="B1359" s="1"/>
      <c r="C1359" s="26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</row>
    <row r="1360" spans="1:42" ht="13.5" customHeight="1">
      <c r="A1360" s="1"/>
      <c r="B1360" s="1"/>
      <c r="C1360" s="26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</row>
    <row r="1361" spans="1:42" ht="13.5" customHeight="1">
      <c r="A1361" s="1"/>
      <c r="B1361" s="1"/>
      <c r="C1361" s="26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</row>
    <row r="1362" spans="1:42" ht="13.5" customHeight="1">
      <c r="A1362" s="1"/>
      <c r="B1362" s="1"/>
      <c r="C1362" s="26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</row>
    <row r="1363" spans="1:42" ht="13.5" customHeight="1">
      <c r="A1363" s="1"/>
      <c r="B1363" s="1"/>
      <c r="C1363" s="26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</row>
    <row r="1364" spans="1:42" ht="13.5" customHeight="1">
      <c r="A1364" s="1"/>
      <c r="B1364" s="1"/>
      <c r="C1364" s="26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</row>
    <row r="1365" spans="1:42" ht="13.5" customHeight="1">
      <c r="A1365" s="1"/>
      <c r="B1365" s="1"/>
      <c r="C1365" s="26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</row>
    <row r="1366" spans="1:42" ht="13.5" customHeight="1">
      <c r="A1366" s="1"/>
      <c r="B1366" s="1"/>
      <c r="C1366" s="26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</row>
    <row r="1367" spans="1:42" ht="13.5" customHeight="1">
      <c r="A1367" s="1"/>
      <c r="B1367" s="1"/>
      <c r="C1367" s="26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</row>
    <row r="1368" spans="1:42" ht="13.5" customHeight="1">
      <c r="A1368" s="1"/>
      <c r="B1368" s="1"/>
      <c r="C1368" s="26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</row>
    <row r="1369" spans="1:42" ht="13.5" customHeight="1">
      <c r="A1369" s="1"/>
      <c r="B1369" s="1"/>
      <c r="C1369" s="26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</row>
    <row r="1370" spans="1:42" ht="13.5" customHeight="1">
      <c r="A1370" s="1"/>
      <c r="B1370" s="1"/>
      <c r="C1370" s="26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</row>
    <row r="1371" spans="1:42" ht="13.5" customHeight="1">
      <c r="A1371" s="1"/>
      <c r="B1371" s="1"/>
      <c r="C1371" s="26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</row>
    <row r="1372" spans="1:42" ht="13.5" customHeight="1">
      <c r="A1372" s="1"/>
      <c r="B1372" s="1"/>
      <c r="C1372" s="26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</row>
    <row r="1373" spans="1:42" ht="13.5" customHeight="1">
      <c r="A1373" s="1"/>
      <c r="B1373" s="1"/>
      <c r="C1373" s="26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</row>
    <row r="1374" spans="1:42" ht="13.5" customHeight="1">
      <c r="A1374" s="1"/>
      <c r="B1374" s="1"/>
      <c r="C1374" s="26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</row>
    <row r="1375" spans="1:42" ht="13.5" customHeight="1">
      <c r="A1375" s="1"/>
      <c r="B1375" s="1"/>
      <c r="C1375" s="26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</row>
    <row r="1376" spans="1:42" ht="13.5" customHeight="1">
      <c r="A1376" s="1"/>
      <c r="B1376" s="1"/>
      <c r="C1376" s="26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</row>
    <row r="1377" spans="1:42" ht="13.5" customHeight="1">
      <c r="A1377" s="1"/>
      <c r="B1377" s="1"/>
      <c r="C1377" s="26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</row>
    <row r="1378" spans="1:42" ht="13.5" customHeight="1">
      <c r="A1378" s="1"/>
      <c r="B1378" s="1"/>
      <c r="C1378" s="26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</row>
    <row r="1379" spans="1:42" ht="13.5" customHeight="1">
      <c r="A1379" s="1"/>
      <c r="B1379" s="1"/>
      <c r="C1379" s="26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</row>
    <row r="1380" spans="1:42" ht="13.5" customHeight="1">
      <c r="A1380" s="1"/>
      <c r="B1380" s="1"/>
      <c r="C1380" s="26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</row>
    <row r="1381" spans="1:42" ht="13.5" customHeight="1">
      <c r="A1381" s="1"/>
      <c r="B1381" s="1"/>
      <c r="C1381" s="26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</row>
    <row r="1382" spans="1:42" ht="13.5" customHeight="1">
      <c r="A1382" s="1"/>
      <c r="B1382" s="1"/>
      <c r="C1382" s="26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</row>
    <row r="1383" spans="1:42" ht="13.5" customHeight="1">
      <c r="A1383" s="1"/>
      <c r="B1383" s="1"/>
      <c r="C1383" s="26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</row>
    <row r="1384" spans="1:42" ht="13.5" customHeight="1">
      <c r="A1384" s="1"/>
      <c r="B1384" s="1"/>
      <c r="C1384" s="26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</row>
    <row r="1385" spans="1:42" ht="13.5" customHeight="1">
      <c r="A1385" s="1"/>
      <c r="B1385" s="1"/>
      <c r="C1385" s="26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</row>
    <row r="1386" spans="1:42" ht="13.5" customHeight="1">
      <c r="A1386" s="1"/>
      <c r="B1386" s="1"/>
      <c r="C1386" s="26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</row>
    <row r="1387" spans="1:42" ht="13.5" customHeight="1">
      <c r="A1387" s="1"/>
      <c r="B1387" s="1"/>
      <c r="C1387" s="26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</row>
    <row r="1388" spans="1:42" ht="13.5" customHeight="1">
      <c r="A1388" s="1"/>
      <c r="B1388" s="1"/>
      <c r="C1388" s="26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</row>
    <row r="1389" spans="1:42" ht="13.5" customHeight="1">
      <c r="A1389" s="1"/>
      <c r="B1389" s="1"/>
      <c r="C1389" s="26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</row>
    <row r="1390" spans="1:42" ht="13.5" customHeight="1">
      <c r="A1390" s="1"/>
      <c r="B1390" s="1"/>
      <c r="C1390" s="26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</row>
    <row r="1391" spans="1:42" ht="13.5" customHeight="1">
      <c r="A1391" s="1"/>
      <c r="B1391" s="1"/>
      <c r="C1391" s="26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</row>
    <row r="1392" spans="1:42" ht="13.5" customHeight="1">
      <c r="A1392" s="1"/>
      <c r="B1392" s="1"/>
      <c r="C1392" s="26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</row>
    <row r="1393" spans="1:42" ht="13.5" customHeight="1">
      <c r="A1393" s="1"/>
      <c r="B1393" s="1"/>
      <c r="C1393" s="26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</row>
    <row r="1394" spans="1:42" ht="13.5" customHeight="1">
      <c r="A1394" s="1"/>
      <c r="B1394" s="1"/>
      <c r="C1394" s="26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</row>
    <row r="1395" spans="1:42" ht="13.5" customHeight="1">
      <c r="A1395" s="1"/>
      <c r="B1395" s="1"/>
      <c r="C1395" s="26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</row>
    <row r="1396" spans="1:42" ht="13.5" customHeight="1">
      <c r="A1396" s="1"/>
      <c r="B1396" s="1"/>
      <c r="C1396" s="26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</row>
    <row r="1397" spans="1:42" ht="13.5" customHeight="1">
      <c r="A1397" s="1"/>
      <c r="B1397" s="1"/>
      <c r="C1397" s="26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</row>
    <row r="1398" spans="1:42" ht="13.5" customHeight="1">
      <c r="A1398" s="1"/>
      <c r="B1398" s="1"/>
      <c r="C1398" s="26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</row>
    <row r="1399" spans="1:42" ht="13.5" customHeight="1">
      <c r="A1399" s="1"/>
      <c r="B1399" s="1"/>
      <c r="C1399" s="26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</row>
    <row r="1400" spans="1:42" ht="13.5" customHeight="1">
      <c r="A1400" s="1"/>
      <c r="B1400" s="1"/>
      <c r="C1400" s="26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</row>
    <row r="1401" spans="1:42" ht="13.5" customHeight="1">
      <c r="A1401" s="1"/>
      <c r="B1401" s="1"/>
      <c r="C1401" s="26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</row>
    <row r="1402" spans="1:42" ht="13.5" customHeight="1">
      <c r="A1402" s="1"/>
      <c r="B1402" s="1"/>
      <c r="C1402" s="26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</row>
    <row r="1403" spans="1:42" ht="13.5" customHeight="1">
      <c r="A1403" s="1"/>
      <c r="B1403" s="1"/>
      <c r="C1403" s="26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</row>
    <row r="1404" spans="1:42" ht="13.5" customHeight="1">
      <c r="A1404" s="1"/>
      <c r="B1404" s="1"/>
      <c r="C1404" s="26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</row>
    <row r="1405" spans="1:42" ht="13.5" customHeight="1">
      <c r="A1405" s="1"/>
      <c r="B1405" s="1"/>
      <c r="C1405" s="26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</row>
    <row r="1406" spans="1:42" ht="13.5" customHeight="1">
      <c r="A1406" s="1"/>
      <c r="B1406" s="1"/>
      <c r="C1406" s="26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</row>
    <row r="1407" spans="1:42" ht="13.5" customHeight="1">
      <c r="A1407" s="1"/>
      <c r="B1407" s="1"/>
      <c r="C1407" s="26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</row>
    <row r="1408" spans="1:42" ht="13.5" customHeight="1">
      <c r="A1408" s="1"/>
      <c r="B1408" s="1"/>
      <c r="C1408" s="26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</row>
    <row r="1409" spans="1:42" ht="13.5" customHeight="1">
      <c r="A1409" s="1"/>
      <c r="B1409" s="1"/>
      <c r="C1409" s="26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</row>
    <row r="1410" spans="1:42" ht="13.5" customHeight="1">
      <c r="A1410" s="1"/>
      <c r="B1410" s="1"/>
      <c r="C1410" s="26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</row>
    <row r="1411" spans="1:42" ht="13.5" customHeight="1">
      <c r="A1411" s="1"/>
      <c r="B1411" s="1"/>
      <c r="C1411" s="26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</row>
    <row r="1412" spans="1:42" ht="13.5" customHeight="1">
      <c r="A1412" s="1"/>
      <c r="B1412" s="1"/>
      <c r="C1412" s="26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</row>
    <row r="1413" spans="1:42" ht="13.5" customHeight="1">
      <c r="A1413" s="1"/>
      <c r="B1413" s="1"/>
      <c r="C1413" s="26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</row>
    <row r="1414" spans="1:42" ht="13.5" customHeight="1">
      <c r="A1414" s="1"/>
      <c r="B1414" s="1"/>
      <c r="C1414" s="26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</row>
    <row r="1415" spans="1:42" ht="13.5" customHeight="1">
      <c r="A1415" s="1"/>
      <c r="B1415" s="1"/>
      <c r="C1415" s="26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</row>
    <row r="1416" spans="1:42" ht="13.5" customHeight="1">
      <c r="A1416" s="1"/>
      <c r="B1416" s="1"/>
      <c r="C1416" s="26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</row>
    <row r="1417" spans="1:42" ht="13.5" customHeight="1">
      <c r="A1417" s="1"/>
      <c r="B1417" s="1"/>
      <c r="C1417" s="26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</row>
    <row r="1418" spans="1:42" ht="13.5" customHeight="1">
      <c r="A1418" s="1"/>
      <c r="B1418" s="1"/>
      <c r="C1418" s="26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</row>
    <row r="1419" spans="1:42" ht="13.5" customHeight="1">
      <c r="A1419" s="1"/>
      <c r="B1419" s="1"/>
      <c r="C1419" s="26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</row>
    <row r="1420" spans="1:42" ht="13.5" customHeight="1">
      <c r="A1420" s="1"/>
      <c r="B1420" s="1"/>
      <c r="C1420" s="26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</row>
    <row r="1421" spans="1:42" ht="13.5" customHeight="1">
      <c r="A1421" s="1"/>
      <c r="B1421" s="1"/>
      <c r="C1421" s="26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</row>
    <row r="1422" spans="1:42" ht="13.5" customHeight="1">
      <c r="A1422" s="1"/>
      <c r="B1422" s="1"/>
      <c r="C1422" s="26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</row>
    <row r="1423" spans="1:42" ht="13.5" customHeight="1">
      <c r="A1423" s="1"/>
      <c r="B1423" s="1"/>
      <c r="C1423" s="26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</row>
    <row r="1424" spans="1:42" ht="13.5" customHeight="1">
      <c r="A1424" s="1"/>
      <c r="B1424" s="1"/>
      <c r="C1424" s="26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</row>
    <row r="1425" spans="1:42" ht="13.5" customHeight="1">
      <c r="A1425" s="1"/>
      <c r="B1425" s="1"/>
      <c r="C1425" s="26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</row>
    <row r="1426" spans="1:42" ht="13.5" customHeight="1">
      <c r="A1426" s="1"/>
      <c r="B1426" s="1"/>
      <c r="C1426" s="26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</row>
    <row r="1427" spans="1:42" ht="13.5" customHeight="1">
      <c r="A1427" s="1"/>
      <c r="B1427" s="1"/>
      <c r="C1427" s="26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</row>
    <row r="1428" spans="1:42" ht="13.5" customHeight="1">
      <c r="A1428" s="1"/>
      <c r="B1428" s="1"/>
      <c r="C1428" s="26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</row>
    <row r="1429" spans="1:42" ht="13.5" customHeight="1">
      <c r="A1429" s="1"/>
      <c r="B1429" s="1"/>
      <c r="C1429" s="26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</row>
    <row r="1430" spans="1:42" ht="13.5" customHeight="1">
      <c r="A1430" s="1"/>
      <c r="B1430" s="1"/>
      <c r="C1430" s="26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</row>
    <row r="1431" spans="1:42" ht="13.5" customHeight="1">
      <c r="A1431" s="1"/>
      <c r="B1431" s="1"/>
      <c r="C1431" s="26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</row>
    <row r="1432" spans="1:42" ht="13.5" customHeight="1">
      <c r="A1432" s="1"/>
      <c r="B1432" s="1"/>
      <c r="C1432" s="26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</row>
    <row r="1433" spans="1:42" ht="13.5" customHeight="1">
      <c r="A1433" s="1"/>
      <c r="B1433" s="1"/>
      <c r="C1433" s="26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</row>
    <row r="1434" spans="1:42" ht="13.5" customHeight="1">
      <c r="A1434" s="1"/>
      <c r="B1434" s="1"/>
      <c r="C1434" s="26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</row>
    <row r="1435" spans="1:42" ht="13.5" customHeight="1">
      <c r="A1435" s="1"/>
      <c r="B1435" s="1"/>
      <c r="C1435" s="26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</row>
    <row r="1436" spans="1:42" ht="13.5" customHeight="1">
      <c r="A1436" s="1"/>
      <c r="B1436" s="1"/>
      <c r="C1436" s="26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</row>
    <row r="1437" spans="1:42" ht="13.5" customHeight="1">
      <c r="A1437" s="1"/>
      <c r="B1437" s="1"/>
      <c r="C1437" s="26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</row>
    <row r="1438" spans="1:42" ht="13.5" customHeight="1">
      <c r="A1438" s="1"/>
      <c r="B1438" s="1"/>
      <c r="C1438" s="26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</row>
    <row r="1439" spans="1:42" ht="13.5" customHeight="1">
      <c r="A1439" s="1"/>
      <c r="B1439" s="1"/>
      <c r="C1439" s="26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</row>
    <row r="1440" spans="1:42" ht="13.5" customHeight="1">
      <c r="A1440" s="1"/>
      <c r="B1440" s="1"/>
      <c r="C1440" s="26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</row>
    <row r="1441" spans="1:42" ht="13.5" customHeight="1">
      <c r="A1441" s="1"/>
      <c r="B1441" s="1"/>
      <c r="C1441" s="26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</row>
    <row r="1442" spans="1:42" ht="13.5" customHeight="1">
      <c r="A1442" s="1"/>
      <c r="B1442" s="1"/>
      <c r="C1442" s="26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</row>
    <row r="1443" spans="1:42" ht="13.5" customHeight="1">
      <c r="A1443" s="1"/>
      <c r="B1443" s="1"/>
      <c r="C1443" s="26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</row>
    <row r="1444" spans="1:42" ht="13.5" customHeight="1">
      <c r="A1444" s="1"/>
      <c r="B1444" s="1"/>
      <c r="C1444" s="26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</row>
    <row r="1445" spans="1:42" ht="13.5" customHeight="1">
      <c r="A1445" s="1"/>
      <c r="B1445" s="1"/>
      <c r="C1445" s="26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</row>
    <row r="1446" spans="1:42" ht="13.5" customHeight="1">
      <c r="A1446" s="1"/>
      <c r="B1446" s="1"/>
      <c r="C1446" s="26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</row>
    <row r="1447" spans="1:42" ht="13.5" customHeight="1">
      <c r="A1447" s="1"/>
      <c r="B1447" s="1"/>
      <c r="C1447" s="26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</row>
    <row r="1448" spans="1:42" ht="13.5" customHeight="1">
      <c r="A1448" s="1"/>
      <c r="B1448" s="1"/>
      <c r="C1448" s="26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</row>
    <row r="1449" spans="1:42" ht="13.5" customHeight="1">
      <c r="A1449" s="1"/>
      <c r="B1449" s="1"/>
      <c r="C1449" s="26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</row>
    <row r="1450" spans="1:42" ht="13.5" customHeight="1">
      <c r="A1450" s="1"/>
      <c r="B1450" s="1"/>
      <c r="C1450" s="26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</row>
    <row r="1451" spans="1:42" ht="13.5" customHeight="1">
      <c r="A1451" s="1"/>
      <c r="B1451" s="1"/>
      <c r="C1451" s="26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</row>
    <row r="1452" spans="1:42" ht="13.5" customHeight="1">
      <c r="A1452" s="1"/>
      <c r="B1452" s="1"/>
      <c r="C1452" s="26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</row>
    <row r="1453" spans="1:42" ht="13.5" customHeight="1">
      <c r="A1453" s="1"/>
      <c r="B1453" s="1"/>
      <c r="C1453" s="26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</row>
    <row r="1454" spans="1:42" ht="13.5" customHeight="1">
      <c r="A1454" s="1"/>
      <c r="B1454" s="1"/>
      <c r="C1454" s="26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</row>
    <row r="1455" spans="1:42" ht="13.5" customHeight="1">
      <c r="A1455" s="1"/>
      <c r="B1455" s="1"/>
      <c r="C1455" s="26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</row>
    <row r="1456" spans="1:42" ht="13.5" customHeight="1">
      <c r="A1456" s="1"/>
      <c r="B1456" s="1"/>
      <c r="C1456" s="26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</row>
    <row r="1457" spans="1:42" ht="13.5" customHeight="1">
      <c r="A1457" s="1"/>
      <c r="B1457" s="1"/>
      <c r="C1457" s="26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</row>
    <row r="1458" spans="1:42" ht="13.5" customHeight="1">
      <c r="A1458" s="1"/>
      <c r="B1458" s="1"/>
      <c r="C1458" s="26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</row>
    <row r="1459" spans="1:42" ht="13.5" customHeight="1">
      <c r="A1459" s="1"/>
      <c r="B1459" s="1"/>
      <c r="C1459" s="26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</row>
    <row r="1460" spans="1:42" ht="13.5" customHeight="1">
      <c r="A1460" s="1"/>
      <c r="B1460" s="1"/>
      <c r="C1460" s="26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</row>
    <row r="1461" spans="1:42" ht="13.5" customHeight="1">
      <c r="A1461" s="1"/>
      <c r="B1461" s="1"/>
      <c r="C1461" s="26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</row>
    <row r="1462" spans="1:42" ht="13.5" customHeight="1">
      <c r="A1462" s="1"/>
      <c r="B1462" s="1"/>
      <c r="C1462" s="26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</row>
    <row r="1463" spans="1:42" ht="13.5" customHeight="1">
      <c r="A1463" s="1"/>
      <c r="B1463" s="1"/>
      <c r="C1463" s="26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</row>
    <row r="1464" spans="1:42" ht="13.5" customHeight="1">
      <c r="A1464" s="1"/>
      <c r="B1464" s="1"/>
      <c r="C1464" s="26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</row>
    <row r="1465" spans="1:42" ht="13.5" customHeight="1">
      <c r="A1465" s="1"/>
      <c r="B1465" s="1"/>
      <c r="C1465" s="26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</row>
    <row r="1466" spans="1:42" ht="13.5" customHeight="1">
      <c r="A1466" s="1"/>
      <c r="B1466" s="1"/>
      <c r="C1466" s="26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</row>
    <row r="1467" spans="1:42" ht="13.5" customHeight="1">
      <c r="A1467" s="1"/>
      <c r="B1467" s="1"/>
      <c r="C1467" s="26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</row>
    <row r="1468" spans="1:42" ht="13.5" customHeight="1">
      <c r="A1468" s="1"/>
      <c r="B1468" s="1"/>
      <c r="C1468" s="26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</row>
    <row r="1469" spans="1:42" ht="13.5" customHeight="1">
      <c r="A1469" s="1"/>
      <c r="B1469" s="1"/>
      <c r="C1469" s="26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</row>
    <row r="1470" spans="1:42" ht="13.5" customHeight="1">
      <c r="A1470" s="1"/>
      <c r="B1470" s="1"/>
      <c r="C1470" s="26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</row>
    <row r="1471" spans="1:42" ht="13.5" customHeight="1">
      <c r="A1471" s="1"/>
      <c r="B1471" s="1"/>
      <c r="C1471" s="26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</row>
    <row r="1472" spans="1:42" ht="13.5" customHeight="1">
      <c r="A1472" s="1"/>
      <c r="B1472" s="1"/>
      <c r="C1472" s="26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</row>
    <row r="1473" spans="1:42" ht="13.5" customHeight="1">
      <c r="A1473" s="1"/>
      <c r="B1473" s="1"/>
      <c r="C1473" s="26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</row>
    <row r="1474" spans="1:42" ht="13.5" customHeight="1">
      <c r="A1474" s="1"/>
      <c r="B1474" s="1"/>
      <c r="C1474" s="26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</row>
    <row r="1475" spans="1:42" ht="13.5" customHeight="1">
      <c r="A1475" s="1"/>
      <c r="B1475" s="1"/>
      <c r="C1475" s="26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</row>
    <row r="1476" spans="1:42" ht="13.5" customHeight="1">
      <c r="A1476" s="1"/>
      <c r="B1476" s="1"/>
      <c r="C1476" s="26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</row>
    <row r="1477" spans="1:42" ht="13.5" customHeight="1">
      <c r="A1477" s="1"/>
      <c r="B1477" s="1"/>
      <c r="C1477" s="26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</row>
    <row r="1478" spans="1:42" ht="13.5" customHeight="1">
      <c r="A1478" s="1"/>
      <c r="B1478" s="1"/>
      <c r="C1478" s="26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</row>
    <row r="1479" spans="1:42" ht="13.5" customHeight="1">
      <c r="A1479" s="1"/>
      <c r="B1479" s="1"/>
      <c r="C1479" s="26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</row>
    <row r="1480" spans="1:42" ht="13.5" customHeight="1">
      <c r="A1480" s="1"/>
      <c r="B1480" s="1"/>
      <c r="C1480" s="26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</row>
    <row r="1481" spans="1:42" ht="13.5" customHeight="1">
      <c r="A1481" s="1"/>
      <c r="B1481" s="1"/>
      <c r="C1481" s="26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</row>
    <row r="1482" spans="1:42" ht="13.5" customHeight="1">
      <c r="A1482" s="1"/>
      <c r="B1482" s="1"/>
      <c r="C1482" s="26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</row>
    <row r="1483" spans="1:42" ht="13.5" customHeight="1">
      <c r="A1483" s="1"/>
      <c r="B1483" s="1"/>
      <c r="C1483" s="26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</row>
    <row r="1484" spans="1:42" ht="13.5" customHeight="1">
      <c r="A1484" s="1"/>
      <c r="B1484" s="1"/>
      <c r="C1484" s="26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</row>
    <row r="1485" spans="1:42" ht="13.5" customHeight="1">
      <c r="A1485" s="1"/>
      <c r="B1485" s="1"/>
      <c r="C1485" s="26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</row>
    <row r="1486" spans="1:42" ht="13.5" customHeight="1">
      <c r="A1486" s="1"/>
      <c r="B1486" s="1"/>
      <c r="C1486" s="26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</row>
    <row r="1487" spans="1:42" ht="13.5" customHeight="1">
      <c r="A1487" s="1"/>
      <c r="B1487" s="1"/>
      <c r="C1487" s="26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</row>
    <row r="1488" spans="1:42" ht="13.5" customHeight="1">
      <c r="A1488" s="1"/>
      <c r="B1488" s="1"/>
      <c r="C1488" s="26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</row>
    <row r="1489" spans="1:42" ht="13.5" customHeight="1">
      <c r="A1489" s="1"/>
      <c r="B1489" s="1"/>
      <c r="C1489" s="26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</row>
    <row r="1490" spans="1:42" ht="13.5" customHeight="1">
      <c r="A1490" s="1"/>
      <c r="B1490" s="1"/>
      <c r="C1490" s="26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</row>
    <row r="1491" spans="1:42" ht="13.5" customHeight="1">
      <c r="A1491" s="1"/>
      <c r="B1491" s="1"/>
      <c r="C1491" s="26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</row>
    <row r="1492" spans="1:42" ht="13.5" customHeight="1">
      <c r="A1492" s="1"/>
      <c r="B1492" s="1"/>
      <c r="C1492" s="26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</row>
    <row r="1493" spans="1:42" ht="13.5" customHeight="1">
      <c r="A1493" s="1"/>
      <c r="B1493" s="1"/>
      <c r="C1493" s="26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</row>
    <row r="1494" spans="1:42" ht="13.5" customHeight="1">
      <c r="A1494" s="1"/>
      <c r="B1494" s="1"/>
      <c r="C1494" s="26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</row>
    <row r="1495" spans="1:42" ht="13.5" customHeight="1">
      <c r="A1495" s="1"/>
      <c r="B1495" s="1"/>
      <c r="C1495" s="26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</row>
    <row r="1496" spans="1:42" ht="13.5" customHeight="1">
      <c r="A1496" s="1"/>
      <c r="B1496" s="1"/>
      <c r="C1496" s="26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</row>
    <row r="1497" spans="1:42" ht="13.5" customHeight="1">
      <c r="A1497" s="1"/>
      <c r="B1497" s="1"/>
      <c r="C1497" s="26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</row>
    <row r="1498" spans="1:42" ht="13.5" customHeight="1">
      <c r="A1498" s="1"/>
      <c r="B1498" s="1"/>
      <c r="C1498" s="26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</row>
    <row r="1499" spans="1:42" ht="13.5" customHeight="1">
      <c r="A1499" s="1"/>
      <c r="B1499" s="1"/>
      <c r="C1499" s="26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</row>
    <row r="1500" spans="1:42" ht="13.5" customHeight="1">
      <c r="A1500" s="1"/>
      <c r="B1500" s="1"/>
      <c r="C1500" s="26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</row>
    <row r="1501" spans="1:42" ht="13.5" customHeight="1">
      <c r="A1501" s="1"/>
      <c r="B1501" s="1"/>
      <c r="C1501" s="26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</row>
    <row r="1502" spans="1:42" ht="13.5" customHeight="1">
      <c r="A1502" s="1"/>
      <c r="B1502" s="1"/>
      <c r="C1502" s="26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</row>
    <row r="1503" spans="1:42" ht="13.5" customHeight="1">
      <c r="A1503" s="1"/>
      <c r="B1503" s="1"/>
      <c r="C1503" s="26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</row>
    <row r="1504" spans="1:42" ht="13.5" customHeight="1">
      <c r="A1504" s="1"/>
      <c r="B1504" s="1"/>
      <c r="C1504" s="26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</row>
    <row r="1505" spans="1:42" ht="13.5" customHeight="1">
      <c r="A1505" s="1"/>
      <c r="B1505" s="1"/>
      <c r="C1505" s="26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</row>
    <row r="1506" spans="1:42" ht="13.5" customHeight="1">
      <c r="A1506" s="1"/>
      <c r="B1506" s="1"/>
      <c r="C1506" s="26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</row>
    <row r="1507" spans="1:42" ht="13.5" customHeight="1">
      <c r="A1507" s="1"/>
      <c r="B1507" s="1"/>
      <c r="C1507" s="26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</row>
    <row r="1508" spans="1:42" ht="13.5" customHeight="1">
      <c r="A1508" s="1"/>
      <c r="B1508" s="1"/>
      <c r="C1508" s="26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</row>
    <row r="1509" spans="1:42" ht="13.5" customHeight="1">
      <c r="A1509" s="1"/>
      <c r="B1509" s="1"/>
      <c r="C1509" s="26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</row>
    <row r="1510" spans="1:42" ht="13.5" customHeight="1">
      <c r="A1510" s="1"/>
      <c r="B1510" s="1"/>
      <c r="C1510" s="26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</row>
    <row r="1511" spans="1:42" ht="13.5" customHeight="1">
      <c r="A1511" s="1"/>
      <c r="B1511" s="1"/>
      <c r="C1511" s="26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</row>
    <row r="1512" spans="1:42" ht="13.5" customHeight="1">
      <c r="A1512" s="1"/>
      <c r="B1512" s="1"/>
      <c r="C1512" s="26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</row>
    <row r="1513" spans="1:42" ht="13.5" customHeight="1">
      <c r="A1513" s="1"/>
      <c r="B1513" s="1"/>
      <c r="C1513" s="26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</row>
    <row r="1514" spans="1:42" ht="13.5" customHeight="1">
      <c r="A1514" s="1"/>
      <c r="B1514" s="1"/>
      <c r="C1514" s="26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</row>
    <row r="1515" spans="1:42" ht="13.5" customHeight="1">
      <c r="A1515" s="1"/>
      <c r="B1515" s="1"/>
      <c r="C1515" s="26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</row>
    <row r="1516" spans="1:42" ht="13.5" customHeight="1">
      <c r="A1516" s="1"/>
      <c r="B1516" s="1"/>
      <c r="C1516" s="26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</row>
    <row r="1517" spans="1:42" ht="13.5" customHeight="1">
      <c r="A1517" s="1"/>
      <c r="B1517" s="1"/>
      <c r="C1517" s="26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</row>
    <row r="1518" spans="1:42" ht="13.5" customHeight="1">
      <c r="A1518" s="1"/>
      <c r="B1518" s="1"/>
      <c r="C1518" s="26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</row>
    <row r="1519" spans="1:42" ht="13.5" customHeight="1">
      <c r="A1519" s="1"/>
      <c r="B1519" s="1"/>
      <c r="C1519" s="26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</row>
    <row r="1520" spans="1:42" ht="13.5" customHeight="1">
      <c r="A1520" s="1"/>
      <c r="B1520" s="1"/>
      <c r="C1520" s="26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</row>
    <row r="1521" spans="1:42" ht="13.5" customHeight="1">
      <c r="A1521" s="1"/>
      <c r="B1521" s="1"/>
      <c r="C1521" s="26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</row>
    <row r="1522" spans="1:42" ht="13.5" customHeight="1">
      <c r="A1522" s="1"/>
      <c r="B1522" s="1"/>
      <c r="C1522" s="26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</row>
    <row r="1523" spans="1:42" ht="13.5" customHeight="1">
      <c r="A1523" s="1"/>
      <c r="B1523" s="1"/>
      <c r="C1523" s="26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</row>
    <row r="1524" spans="1:42" ht="13.5" customHeight="1">
      <c r="A1524" s="1"/>
      <c r="B1524" s="1"/>
      <c r="C1524" s="26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</row>
    <row r="1525" spans="1:42" ht="13.5" customHeight="1">
      <c r="A1525" s="1"/>
      <c r="B1525" s="1"/>
      <c r="C1525" s="26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</row>
    <row r="1526" spans="1:42" ht="13.5" customHeight="1">
      <c r="A1526" s="1"/>
      <c r="B1526" s="1"/>
      <c r="C1526" s="26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</row>
    <row r="1527" spans="1:42" ht="13.5" customHeight="1">
      <c r="A1527" s="1"/>
      <c r="B1527" s="1"/>
      <c r="C1527" s="26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</row>
    <row r="1528" spans="1:42" ht="13.5" customHeight="1">
      <c r="A1528" s="1"/>
      <c r="B1528" s="1"/>
      <c r="C1528" s="26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</row>
    <row r="1529" spans="1:42" ht="13.5" customHeight="1">
      <c r="A1529" s="1"/>
      <c r="B1529" s="1"/>
      <c r="C1529" s="26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</row>
    <row r="1530" spans="1:42" ht="13.5" customHeight="1">
      <c r="A1530" s="1"/>
      <c r="B1530" s="1"/>
      <c r="C1530" s="26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</row>
    <row r="1531" spans="1:42" ht="13.5" customHeight="1">
      <c r="A1531" s="1"/>
      <c r="B1531" s="1"/>
      <c r="C1531" s="26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</row>
    <row r="1532" spans="1:42" ht="13.5" customHeight="1">
      <c r="A1532" s="1"/>
      <c r="B1532" s="1"/>
      <c r="C1532" s="26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</row>
    <row r="1533" spans="1:42" ht="13.5" customHeight="1">
      <c r="A1533" s="1"/>
      <c r="B1533" s="1"/>
      <c r="C1533" s="26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</row>
    <row r="1534" spans="1:42" ht="13.5" customHeight="1">
      <c r="A1534" s="1"/>
      <c r="B1534" s="1"/>
      <c r="C1534" s="26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</row>
    <row r="1535" spans="1:42" ht="13.5" customHeight="1">
      <c r="A1535" s="1"/>
      <c r="B1535" s="1"/>
      <c r="C1535" s="26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</row>
    <row r="1536" spans="1:42" ht="13.5" customHeight="1">
      <c r="A1536" s="1"/>
      <c r="B1536" s="1"/>
      <c r="C1536" s="26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</row>
    <row r="1537" spans="1:42" ht="13.5" customHeight="1">
      <c r="A1537" s="1"/>
      <c r="B1537" s="1"/>
      <c r="C1537" s="26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</row>
    <row r="1538" spans="1:42" ht="13.5" customHeight="1">
      <c r="A1538" s="1"/>
      <c r="B1538" s="1"/>
      <c r="C1538" s="26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</row>
    <row r="1539" spans="1:42" ht="13.5" customHeight="1">
      <c r="A1539" s="1"/>
      <c r="B1539" s="1"/>
      <c r="C1539" s="26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</row>
    <row r="1540" spans="1:42" ht="13.5" customHeight="1">
      <c r="A1540" s="1"/>
      <c r="B1540" s="1"/>
      <c r="C1540" s="26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</row>
    <row r="1541" spans="1:42" ht="13.5" customHeight="1">
      <c r="A1541" s="1"/>
      <c r="B1541" s="1"/>
      <c r="C1541" s="26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</row>
    <row r="1542" spans="1:42" ht="13.5" customHeight="1">
      <c r="A1542" s="1"/>
      <c r="B1542" s="1"/>
      <c r="C1542" s="26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</row>
    <row r="1543" spans="1:42" ht="13.5" customHeight="1">
      <c r="A1543" s="1"/>
      <c r="B1543" s="1"/>
      <c r="C1543" s="26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</row>
    <row r="1544" spans="1:42" ht="13.5" customHeight="1">
      <c r="A1544" s="1"/>
      <c r="B1544" s="1"/>
      <c r="C1544" s="26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</row>
    <row r="1545" spans="1:42" ht="13.5" customHeight="1">
      <c r="A1545" s="1"/>
      <c r="B1545" s="1"/>
      <c r="C1545" s="26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</row>
    <row r="1546" spans="1:42" ht="13.5" customHeight="1">
      <c r="A1546" s="1"/>
      <c r="B1546" s="1"/>
      <c r="C1546" s="26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</row>
    <row r="1547" spans="1:42" ht="13.5" customHeight="1">
      <c r="A1547" s="1"/>
      <c r="B1547" s="1"/>
      <c r="C1547" s="26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</row>
    <row r="1548" spans="1:42" ht="13.5" customHeight="1">
      <c r="A1548" s="1"/>
      <c r="B1548" s="1"/>
      <c r="C1548" s="26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</row>
    <row r="1549" spans="1:42" ht="13.5" customHeight="1">
      <c r="A1549" s="1"/>
      <c r="B1549" s="1"/>
      <c r="C1549" s="26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</row>
    <row r="1550" spans="1:42" ht="13.5" customHeight="1">
      <c r="A1550" s="1"/>
      <c r="B1550" s="1"/>
      <c r="C1550" s="26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</row>
    <row r="1551" spans="1:42" ht="13.5" customHeight="1">
      <c r="A1551" s="1"/>
      <c r="B1551" s="1"/>
      <c r="C1551" s="26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</row>
    <row r="1552" spans="1:42" ht="13.5" customHeight="1">
      <c r="A1552" s="1"/>
      <c r="B1552" s="1"/>
      <c r="C1552" s="26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</row>
    <row r="1553" spans="1:42" ht="13.5" customHeight="1">
      <c r="A1553" s="1"/>
      <c r="B1553" s="1"/>
      <c r="C1553" s="26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</row>
    <row r="1554" spans="1:42" ht="13.5" customHeight="1">
      <c r="A1554" s="1"/>
      <c r="B1554" s="1"/>
      <c r="C1554" s="26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</row>
    <row r="1555" spans="1:42" ht="13.5" customHeight="1">
      <c r="A1555" s="1"/>
      <c r="B1555" s="1"/>
      <c r="C1555" s="26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</row>
    <row r="1556" spans="1:42" ht="13.5" customHeight="1">
      <c r="A1556" s="1"/>
      <c r="B1556" s="1"/>
      <c r="C1556" s="26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</row>
    <row r="1557" spans="1:42" ht="13.5" customHeight="1">
      <c r="A1557" s="1"/>
      <c r="B1557" s="1"/>
      <c r="C1557" s="26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</row>
    <row r="1558" spans="1:42" ht="13.5" customHeight="1">
      <c r="A1558" s="1"/>
      <c r="B1558" s="1"/>
      <c r="C1558" s="26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</row>
    <row r="1559" spans="1:42" ht="13.5" customHeight="1">
      <c r="A1559" s="1"/>
      <c r="B1559" s="1"/>
      <c r="C1559" s="26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</row>
    <row r="1560" spans="1:42" ht="13.5" customHeight="1">
      <c r="A1560" s="1"/>
      <c r="B1560" s="1"/>
      <c r="C1560" s="26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</row>
    <row r="1561" spans="1:42" ht="13.5" customHeight="1">
      <c r="A1561" s="1"/>
      <c r="B1561" s="1"/>
      <c r="C1561" s="26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</row>
    <row r="1562" spans="1:42" ht="13.5" customHeight="1">
      <c r="A1562" s="1"/>
      <c r="B1562" s="1"/>
      <c r="C1562" s="26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</row>
    <row r="1563" spans="1:42" ht="13.5" customHeight="1">
      <c r="A1563" s="1"/>
      <c r="B1563" s="1"/>
      <c r="C1563" s="26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</row>
    <row r="1564" spans="1:42" ht="13.5" customHeight="1">
      <c r="A1564" s="1"/>
      <c r="B1564" s="1"/>
      <c r="C1564" s="26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</row>
    <row r="1565" spans="1:42" ht="13.5" customHeight="1">
      <c r="A1565" s="1"/>
      <c r="B1565" s="1"/>
      <c r="C1565" s="26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</row>
    <row r="1566" spans="1:42" ht="13.5" customHeight="1">
      <c r="A1566" s="1"/>
      <c r="B1566" s="1"/>
      <c r="C1566" s="26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</row>
    <row r="1567" spans="1:42" ht="13.5" customHeight="1">
      <c r="A1567" s="1"/>
      <c r="B1567" s="1"/>
      <c r="C1567" s="26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</row>
    <row r="1568" spans="1:42" ht="13.5" customHeight="1">
      <c r="A1568" s="1"/>
      <c r="B1568" s="1"/>
      <c r="C1568" s="26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</row>
    <row r="1569" spans="1:42" ht="13.5" customHeight="1">
      <c r="A1569" s="1"/>
      <c r="B1569" s="1"/>
      <c r="C1569" s="26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</row>
    <row r="1570" spans="1:42" ht="13.5" customHeight="1">
      <c r="A1570" s="1"/>
      <c r="B1570" s="1"/>
      <c r="C1570" s="26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</row>
    <row r="1571" spans="1:42" ht="13.5" customHeight="1">
      <c r="A1571" s="1"/>
      <c r="B1571" s="1"/>
      <c r="C1571" s="26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</row>
    <row r="1572" spans="1:42" ht="13.5" customHeight="1">
      <c r="A1572" s="1"/>
      <c r="B1572" s="1"/>
      <c r="C1572" s="26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</row>
    <row r="1573" spans="1:42" ht="13.5" customHeight="1">
      <c r="A1573" s="1"/>
      <c r="B1573" s="1"/>
      <c r="C1573" s="26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</row>
    <row r="1574" spans="1:42" ht="13.5" customHeight="1">
      <c r="A1574" s="1"/>
      <c r="B1574" s="1"/>
      <c r="C1574" s="26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</row>
    <row r="1575" spans="1:42" ht="13.5" customHeight="1">
      <c r="A1575" s="1"/>
      <c r="B1575" s="1"/>
      <c r="C1575" s="26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</row>
    <row r="1576" spans="1:42" ht="13.5" customHeight="1">
      <c r="A1576" s="1"/>
      <c r="B1576" s="1"/>
      <c r="C1576" s="26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</row>
    <row r="1577" spans="1:42" ht="13.5" customHeight="1">
      <c r="A1577" s="1"/>
      <c r="B1577" s="1"/>
      <c r="C1577" s="26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</row>
    <row r="1578" spans="1:42" ht="13.5" customHeight="1">
      <c r="A1578" s="1"/>
      <c r="B1578" s="1"/>
      <c r="C1578" s="26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</row>
    <row r="1579" spans="1:42" ht="13.5" customHeight="1">
      <c r="A1579" s="1"/>
      <c r="B1579" s="1"/>
      <c r="C1579" s="26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</row>
    <row r="1580" spans="1:42" ht="13.5" customHeight="1">
      <c r="A1580" s="1"/>
      <c r="B1580" s="1"/>
      <c r="C1580" s="26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</row>
    <row r="1581" spans="1:42" ht="13.5" customHeight="1">
      <c r="A1581" s="1"/>
      <c r="B1581" s="1"/>
      <c r="C1581" s="26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</row>
    <row r="1582" spans="1:42" ht="13.5" customHeight="1">
      <c r="A1582" s="1"/>
      <c r="B1582" s="1"/>
      <c r="C1582" s="26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</row>
    <row r="1583" spans="1:42" ht="13.5" customHeight="1">
      <c r="A1583" s="1"/>
      <c r="B1583" s="1"/>
      <c r="C1583" s="26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</row>
    <row r="1584" spans="1:42" ht="13.5" customHeight="1">
      <c r="A1584" s="1"/>
      <c r="B1584" s="1"/>
      <c r="C1584" s="26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</row>
    <row r="1585" spans="1:42" ht="13.5" customHeight="1">
      <c r="A1585" s="1"/>
      <c r="B1585" s="1"/>
      <c r="C1585" s="26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</row>
    <row r="1586" spans="1:42" ht="13.5" customHeight="1">
      <c r="A1586" s="1"/>
      <c r="B1586" s="1"/>
      <c r="C1586" s="26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</row>
    <row r="1587" spans="1:42" ht="13.5" customHeight="1">
      <c r="A1587" s="1"/>
      <c r="B1587" s="1"/>
      <c r="C1587" s="26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</row>
    <row r="1588" spans="1:42" ht="13.5" customHeight="1">
      <c r="A1588" s="1"/>
      <c r="B1588" s="1"/>
      <c r="C1588" s="26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</row>
    <row r="1589" spans="1:42" ht="13.5" customHeight="1">
      <c r="A1589" s="1"/>
      <c r="B1589" s="1"/>
      <c r="C1589" s="26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</row>
    <row r="1590" spans="1:42" ht="13.5" customHeight="1">
      <c r="A1590" s="1"/>
      <c r="B1590" s="1"/>
      <c r="C1590" s="26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</row>
    <row r="1591" spans="1:42" ht="13.5" customHeight="1">
      <c r="A1591" s="1"/>
      <c r="B1591" s="1"/>
      <c r="C1591" s="26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</row>
    <row r="1592" spans="1:42" ht="13.5" customHeight="1">
      <c r="A1592" s="1"/>
      <c r="B1592" s="1"/>
      <c r="C1592" s="26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</row>
    <row r="1593" spans="1:42" ht="13.5" customHeight="1">
      <c r="A1593" s="1"/>
      <c r="B1593" s="1"/>
      <c r="C1593" s="26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</row>
    <row r="1594" spans="1:42" ht="13.5" customHeight="1">
      <c r="A1594" s="1"/>
      <c r="B1594" s="1"/>
      <c r="C1594" s="26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</row>
    <row r="1595" spans="1:42" ht="13.5" customHeight="1">
      <c r="A1595" s="1"/>
      <c r="B1595" s="1"/>
      <c r="C1595" s="26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</row>
    <row r="1596" spans="1:42" ht="13.5" customHeight="1">
      <c r="A1596" s="1"/>
      <c r="B1596" s="1"/>
      <c r="C1596" s="26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</row>
    <row r="1597" spans="1:42" ht="13.5" customHeight="1">
      <c r="A1597" s="1"/>
      <c r="B1597" s="1"/>
      <c r="C1597" s="26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</row>
    <row r="1598" spans="1:42" ht="13.5" customHeight="1">
      <c r="A1598" s="1"/>
      <c r="B1598" s="1"/>
      <c r="C1598" s="26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</row>
    <row r="1599" spans="1:42" ht="13.5" customHeight="1">
      <c r="A1599" s="1"/>
      <c r="B1599" s="1"/>
      <c r="C1599" s="26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</row>
    <row r="1600" spans="1:42" ht="13.5" customHeight="1">
      <c r="A1600" s="1"/>
      <c r="B1600" s="1"/>
      <c r="C1600" s="26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</row>
    <row r="1601" spans="1:42" ht="13.5" customHeight="1">
      <c r="A1601" s="1"/>
      <c r="B1601" s="1"/>
      <c r="C1601" s="26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</row>
    <row r="1602" spans="1:42" ht="13.5" customHeight="1">
      <c r="A1602" s="1"/>
      <c r="B1602" s="1"/>
      <c r="C1602" s="26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</row>
    <row r="1603" spans="1:42" ht="13.5" customHeight="1">
      <c r="A1603" s="1"/>
      <c r="B1603" s="1"/>
      <c r="C1603" s="26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</row>
    <row r="1604" spans="1:42" ht="13.5" customHeight="1">
      <c r="A1604" s="1"/>
      <c r="B1604" s="1"/>
      <c r="C1604" s="26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</row>
    <row r="1605" spans="1:42" ht="13.5" customHeight="1">
      <c r="A1605" s="1"/>
      <c r="B1605" s="1"/>
      <c r="C1605" s="26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</row>
    <row r="1606" spans="1:42" ht="13.5" customHeight="1">
      <c r="A1606" s="1"/>
      <c r="B1606" s="1"/>
      <c r="C1606" s="26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</row>
    <row r="1607" spans="1:42" ht="13.5" customHeight="1">
      <c r="A1607" s="1"/>
      <c r="B1607" s="1"/>
      <c r="C1607" s="26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</row>
    <row r="1608" spans="1:42" ht="13.5" customHeight="1">
      <c r="A1608" s="1"/>
      <c r="B1608" s="1"/>
      <c r="C1608" s="26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</row>
    <row r="1609" spans="1:42" ht="13.5" customHeight="1">
      <c r="A1609" s="1"/>
      <c r="B1609" s="1"/>
      <c r="C1609" s="26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</row>
    <row r="1610" spans="1:42" ht="13.5" customHeight="1">
      <c r="A1610" s="1"/>
      <c r="B1610" s="1"/>
      <c r="C1610" s="26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</row>
    <row r="1611" spans="1:42" ht="13.5" customHeight="1">
      <c r="A1611" s="1"/>
      <c r="B1611" s="1"/>
      <c r="C1611" s="26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</row>
    <row r="1612" spans="1:42" ht="13.5" customHeight="1">
      <c r="A1612" s="1"/>
      <c r="B1612" s="1"/>
      <c r="C1612" s="26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</row>
    <row r="1613" spans="1:42" ht="13.5" customHeight="1">
      <c r="A1613" s="1"/>
      <c r="B1613" s="1"/>
      <c r="C1613" s="26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</row>
    <row r="1614" spans="1:42" ht="13.5" customHeight="1">
      <c r="A1614" s="1"/>
      <c r="B1614" s="1"/>
      <c r="C1614" s="26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</row>
    <row r="1615" spans="1:42" ht="13.5" customHeight="1">
      <c r="A1615" s="1"/>
      <c r="B1615" s="1"/>
      <c r="C1615" s="26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</row>
    <row r="1616" spans="1:42" ht="13.5" customHeight="1">
      <c r="A1616" s="1"/>
      <c r="B1616" s="1"/>
      <c r="C1616" s="26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</row>
    <row r="1617" spans="1:42" ht="13.5" customHeight="1">
      <c r="A1617" s="1"/>
      <c r="B1617" s="1"/>
      <c r="C1617" s="26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</row>
    <row r="1618" spans="1:42" ht="13.5" customHeight="1">
      <c r="A1618" s="1"/>
      <c r="B1618" s="1"/>
      <c r="C1618" s="26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</row>
    <row r="1619" spans="1:42" ht="13.5" customHeight="1">
      <c r="A1619" s="1"/>
      <c r="B1619" s="1"/>
      <c r="C1619" s="26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</row>
    <row r="1620" spans="1:42" ht="13.5" customHeight="1">
      <c r="A1620" s="1"/>
      <c r="B1620" s="1"/>
      <c r="C1620" s="26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</row>
    <row r="1621" spans="1:42" ht="13.5" customHeight="1">
      <c r="A1621" s="1"/>
      <c r="B1621" s="1"/>
      <c r="C1621" s="26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</row>
    <row r="1622" spans="1:42" ht="13.5" customHeight="1">
      <c r="A1622" s="1"/>
      <c r="B1622" s="1"/>
      <c r="C1622" s="26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</row>
    <row r="1623" spans="1:42" ht="13.5" customHeight="1">
      <c r="A1623" s="1"/>
      <c r="B1623" s="1"/>
      <c r="C1623" s="26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</row>
    <row r="1624" spans="1:42" ht="13.5" customHeight="1">
      <c r="A1624" s="1"/>
      <c r="B1624" s="1"/>
      <c r="C1624" s="26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</row>
    <row r="1625" spans="1:42" ht="13.5" customHeight="1">
      <c r="A1625" s="1"/>
      <c r="B1625" s="1"/>
      <c r="C1625" s="26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</row>
    <row r="1626" spans="1:42" ht="13.5" customHeight="1">
      <c r="A1626" s="1"/>
      <c r="B1626" s="1"/>
      <c r="C1626" s="26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</row>
    <row r="1627" spans="1:42" ht="13.5" customHeight="1">
      <c r="A1627" s="1"/>
      <c r="B1627" s="1"/>
      <c r="C1627" s="26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</row>
    <row r="1628" spans="1:42" ht="13.5" customHeight="1">
      <c r="A1628" s="1"/>
      <c r="B1628" s="1"/>
      <c r="C1628" s="26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</row>
    <row r="1629" spans="1:42" ht="13.5" customHeight="1">
      <c r="A1629" s="1"/>
      <c r="B1629" s="1"/>
      <c r="C1629" s="26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</row>
    <row r="1630" spans="1:42" ht="13.5" customHeight="1">
      <c r="A1630" s="1"/>
      <c r="B1630" s="1"/>
      <c r="C1630" s="26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</row>
    <row r="1631" spans="1:42" ht="13.5" customHeight="1">
      <c r="A1631" s="1"/>
      <c r="B1631" s="1"/>
      <c r="C1631" s="26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</row>
    <row r="1632" spans="1:42" ht="13.5" customHeight="1">
      <c r="A1632" s="1"/>
      <c r="B1632" s="1"/>
      <c r="C1632" s="26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</row>
    <row r="1633" spans="1:42" ht="13.5" customHeight="1">
      <c r="A1633" s="1"/>
      <c r="B1633" s="1"/>
      <c r="C1633" s="26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</row>
    <row r="1634" spans="1:42" ht="13.5" customHeight="1">
      <c r="A1634" s="1"/>
      <c r="B1634" s="1"/>
      <c r="C1634" s="26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</row>
    <row r="1635" spans="1:42" ht="13.5" customHeight="1">
      <c r="A1635" s="1"/>
      <c r="B1635" s="1"/>
      <c r="C1635" s="26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</row>
    <row r="1636" spans="1:42" ht="13.5" customHeight="1">
      <c r="A1636" s="1"/>
      <c r="B1636" s="1"/>
      <c r="C1636" s="26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</row>
    <row r="1637" spans="1:42" ht="13.5" customHeight="1">
      <c r="A1637" s="1"/>
      <c r="B1637" s="1"/>
      <c r="C1637" s="26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</row>
    <row r="1638" spans="1:42" ht="13.5" customHeight="1">
      <c r="A1638" s="1"/>
      <c r="B1638" s="1"/>
      <c r="C1638" s="26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</row>
    <row r="1639" spans="1:42" ht="13.5" customHeight="1">
      <c r="A1639" s="1"/>
      <c r="B1639" s="1"/>
      <c r="C1639" s="26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</row>
    <row r="1640" spans="1:42" ht="13.5" customHeight="1">
      <c r="A1640" s="1"/>
      <c r="B1640" s="1"/>
      <c r="C1640" s="26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</row>
    <row r="1641" spans="1:42" ht="13.5" customHeight="1">
      <c r="A1641" s="1"/>
      <c r="B1641" s="1"/>
      <c r="C1641" s="26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</row>
    <row r="1642" spans="1:42" ht="13.5" customHeight="1">
      <c r="A1642" s="1"/>
      <c r="B1642" s="1"/>
      <c r="C1642" s="26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</row>
    <row r="1643" spans="1:42" ht="13.5" customHeight="1">
      <c r="A1643" s="1"/>
      <c r="B1643" s="1"/>
      <c r="C1643" s="26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</row>
    <row r="1644" spans="1:42" ht="13.5" customHeight="1">
      <c r="A1644" s="1"/>
      <c r="B1644" s="1"/>
      <c r="C1644" s="26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</row>
    <row r="1645" spans="1:42" ht="13.5" customHeight="1">
      <c r="A1645" s="1"/>
      <c r="B1645" s="1"/>
      <c r="C1645" s="26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</row>
    <row r="1646" spans="1:42" ht="13.5" customHeight="1">
      <c r="A1646" s="1"/>
      <c r="B1646" s="1"/>
      <c r="C1646" s="26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</row>
    <row r="1647" spans="1:42" ht="13.5" customHeight="1">
      <c r="A1647" s="1"/>
      <c r="B1647" s="1"/>
      <c r="C1647" s="26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</row>
    <row r="1648" spans="1:42" ht="13.5" customHeight="1">
      <c r="A1648" s="1"/>
      <c r="B1648" s="1"/>
      <c r="C1648" s="26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</row>
    <row r="1649" spans="1:42" ht="13.5" customHeight="1">
      <c r="A1649" s="1"/>
      <c r="B1649" s="1"/>
      <c r="C1649" s="26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</row>
    <row r="1650" spans="1:42" ht="13.5" customHeight="1">
      <c r="A1650" s="1"/>
      <c r="B1650" s="1"/>
      <c r="C1650" s="26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</row>
    <row r="1651" spans="1:42" ht="13.5" customHeight="1">
      <c r="A1651" s="1"/>
      <c r="B1651" s="1"/>
      <c r="C1651" s="26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</row>
    <row r="1652" spans="1:42" ht="13.5" customHeight="1">
      <c r="A1652" s="1"/>
      <c r="B1652" s="1"/>
      <c r="C1652" s="26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</row>
    <row r="1653" spans="1:42" ht="13.5" customHeight="1">
      <c r="A1653" s="1"/>
      <c r="B1653" s="1"/>
      <c r="C1653" s="26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</row>
    <row r="1654" spans="1:42" ht="13.5" customHeight="1">
      <c r="A1654" s="1"/>
      <c r="B1654" s="1"/>
      <c r="C1654" s="26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</row>
    <row r="1655" spans="1:42" ht="13.5" customHeight="1">
      <c r="A1655" s="1"/>
      <c r="B1655" s="1"/>
      <c r="C1655" s="26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</row>
    <row r="1656" spans="1:42" ht="13.5" customHeight="1">
      <c r="A1656" s="1"/>
      <c r="B1656" s="1"/>
      <c r="C1656" s="26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</row>
    <row r="1657" spans="1:42" ht="13.5" customHeight="1">
      <c r="A1657" s="1"/>
      <c r="B1657" s="1"/>
      <c r="C1657" s="26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</row>
    <row r="1658" spans="1:42" ht="13.5" customHeight="1">
      <c r="A1658" s="1"/>
      <c r="B1658" s="1"/>
      <c r="C1658" s="26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</row>
    <row r="1659" spans="1:42" ht="13.5" customHeight="1">
      <c r="A1659" s="1"/>
      <c r="B1659" s="1"/>
      <c r="C1659" s="26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</row>
    <row r="1660" spans="1:42" ht="13.5" customHeight="1">
      <c r="A1660" s="1"/>
      <c r="B1660" s="1"/>
      <c r="C1660" s="26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</row>
    <row r="1661" spans="1:42" ht="13.5" customHeight="1">
      <c r="A1661" s="1"/>
      <c r="B1661" s="1"/>
      <c r="C1661" s="26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</row>
    <row r="1662" spans="1:42" ht="13.5" customHeight="1">
      <c r="A1662" s="1"/>
      <c r="B1662" s="1"/>
      <c r="C1662" s="26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</row>
    <row r="1663" spans="1:42" ht="13.5" customHeight="1">
      <c r="A1663" s="1"/>
      <c r="B1663" s="1"/>
      <c r="C1663" s="26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</row>
    <row r="1664" spans="1:42" ht="13.5" customHeight="1">
      <c r="A1664" s="1"/>
      <c r="B1664" s="1"/>
      <c r="C1664" s="26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</row>
    <row r="1665" spans="1:42" ht="13.5" customHeight="1">
      <c r="A1665" s="1"/>
      <c r="B1665" s="1"/>
      <c r="C1665" s="26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</row>
    <row r="1666" spans="1:42" ht="13.5" customHeight="1">
      <c r="A1666" s="1"/>
      <c r="B1666" s="1"/>
      <c r="C1666" s="26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</row>
    <row r="1667" spans="1:42" ht="13.5" customHeight="1">
      <c r="A1667" s="1"/>
      <c r="B1667" s="1"/>
      <c r="C1667" s="26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</row>
    <row r="1668" spans="1:42" ht="13.5" customHeight="1">
      <c r="A1668" s="1"/>
      <c r="B1668" s="1"/>
      <c r="C1668" s="26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</row>
    <row r="1669" spans="1:42" ht="13.5" customHeight="1">
      <c r="A1669" s="1"/>
      <c r="B1669" s="1"/>
      <c r="C1669" s="26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</row>
    <row r="1670" spans="1:42" ht="13.5" customHeight="1">
      <c r="A1670" s="1"/>
      <c r="B1670" s="1"/>
      <c r="C1670" s="26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</row>
    <row r="1671" spans="1:42" ht="13.5" customHeight="1">
      <c r="A1671" s="1"/>
      <c r="B1671" s="1"/>
      <c r="C1671" s="26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</row>
    <row r="1672" spans="1:42" ht="13.5" customHeight="1">
      <c r="A1672" s="1"/>
      <c r="B1672" s="1"/>
      <c r="C1672" s="26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</row>
    <row r="1673" spans="1:42" ht="13.5" customHeight="1">
      <c r="A1673" s="1"/>
      <c r="B1673" s="1"/>
      <c r="C1673" s="26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</row>
    <row r="1674" spans="1:42" ht="13.5" customHeight="1">
      <c r="A1674" s="1"/>
      <c r="B1674" s="1"/>
      <c r="C1674" s="26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</row>
    <row r="1675" spans="1:42" ht="13.5" customHeight="1">
      <c r="A1675" s="1"/>
      <c r="B1675" s="1"/>
      <c r="C1675" s="26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</row>
    <row r="1676" spans="1:42" ht="13.5" customHeight="1">
      <c r="A1676" s="1"/>
      <c r="B1676" s="1"/>
      <c r="C1676" s="26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</row>
    <row r="1677" spans="1:42" ht="13.5" customHeight="1">
      <c r="A1677" s="1"/>
      <c r="B1677" s="1"/>
      <c r="C1677" s="26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</row>
    <row r="1678" spans="1:42" ht="13.5" customHeight="1">
      <c r="A1678" s="1"/>
      <c r="B1678" s="1"/>
      <c r="C1678" s="26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</row>
    <row r="1679" spans="1:42" ht="13.5" customHeight="1">
      <c r="A1679" s="1"/>
      <c r="B1679" s="1"/>
      <c r="C1679" s="26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</row>
    <row r="1680" spans="1:42" ht="13.5" customHeight="1">
      <c r="A1680" s="1"/>
      <c r="B1680" s="1"/>
      <c r="C1680" s="26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</row>
    <row r="1681" spans="1:42" ht="13.5" customHeight="1">
      <c r="A1681" s="1"/>
      <c r="B1681" s="1"/>
      <c r="C1681" s="26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</row>
    <row r="1682" spans="1:42" ht="13.5" customHeight="1">
      <c r="A1682" s="1"/>
      <c r="B1682" s="1"/>
      <c r="C1682" s="26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</row>
    <row r="1683" spans="1:42" ht="13.5" customHeight="1">
      <c r="A1683" s="1"/>
      <c r="B1683" s="1"/>
      <c r="C1683" s="26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</row>
    <row r="1684" spans="1:42" ht="13.5" customHeight="1">
      <c r="A1684" s="1"/>
      <c r="B1684" s="1"/>
      <c r="C1684" s="26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</row>
    <row r="1685" spans="1:42" ht="13.5" customHeight="1">
      <c r="A1685" s="1"/>
      <c r="B1685" s="1"/>
      <c r="C1685" s="26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</row>
    <row r="1686" spans="1:42" ht="13.5" customHeight="1">
      <c r="A1686" s="1"/>
      <c r="B1686" s="1"/>
      <c r="C1686" s="26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</row>
    <row r="1687" spans="1:42" ht="13.5" customHeight="1">
      <c r="A1687" s="1"/>
      <c r="B1687" s="1"/>
      <c r="C1687" s="26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</row>
    <row r="1688" spans="1:42" ht="13.5" customHeight="1">
      <c r="A1688" s="1"/>
      <c r="B1688" s="1"/>
      <c r="C1688" s="26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</row>
    <row r="1689" spans="1:42" ht="13.5" customHeight="1">
      <c r="A1689" s="1"/>
      <c r="B1689" s="1"/>
      <c r="C1689" s="26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</row>
    <row r="1690" spans="1:42" ht="13.5" customHeight="1">
      <c r="A1690" s="1"/>
      <c r="B1690" s="1"/>
      <c r="C1690" s="26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</row>
    <row r="1691" spans="1:42" ht="13.5" customHeight="1">
      <c r="A1691" s="1"/>
      <c r="B1691" s="1"/>
      <c r="C1691" s="26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</row>
    <row r="1692" spans="1:42" ht="13.5" customHeight="1">
      <c r="A1692" s="1"/>
      <c r="B1692" s="1"/>
      <c r="C1692" s="26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</row>
    <row r="1693" spans="1:42" ht="13.5" customHeight="1">
      <c r="A1693" s="1"/>
      <c r="B1693" s="1"/>
      <c r="C1693" s="26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</row>
    <row r="1694" spans="1:42" ht="13.5" customHeight="1">
      <c r="A1694" s="1"/>
      <c r="B1694" s="1"/>
      <c r="C1694" s="26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</row>
    <row r="1695" spans="1:42" ht="13.5" customHeight="1">
      <c r="A1695" s="1"/>
      <c r="B1695" s="1"/>
      <c r="C1695" s="26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</row>
    <row r="1696" spans="1:42" ht="13.5" customHeight="1">
      <c r="A1696" s="1"/>
      <c r="B1696" s="1"/>
      <c r="C1696" s="26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</row>
    <row r="1697" spans="1:42" ht="13.5" customHeight="1">
      <c r="A1697" s="1"/>
      <c r="B1697" s="1"/>
      <c r="C1697" s="26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</row>
    <row r="1698" spans="1:42" ht="13.5" customHeight="1">
      <c r="A1698" s="1"/>
      <c r="B1698" s="1"/>
      <c r="C1698" s="26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</row>
    <row r="1699" spans="1:42" ht="13.5" customHeight="1">
      <c r="A1699" s="1"/>
      <c r="B1699" s="1"/>
      <c r="C1699" s="26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</row>
    <row r="1700" spans="1:42" ht="13.5" customHeight="1">
      <c r="A1700" s="1"/>
      <c r="B1700" s="1"/>
      <c r="C1700" s="26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</row>
    <row r="1701" spans="1:42" ht="13.5" customHeight="1">
      <c r="A1701" s="1"/>
      <c r="B1701" s="1"/>
      <c r="C1701" s="26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</row>
    <row r="1702" spans="1:42" ht="13.5" customHeight="1">
      <c r="A1702" s="1"/>
      <c r="B1702" s="1"/>
      <c r="C1702" s="26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</row>
    <row r="1703" spans="1:42" ht="13.5" customHeight="1">
      <c r="A1703" s="1"/>
      <c r="B1703" s="1"/>
      <c r="C1703" s="26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</row>
    <row r="1704" spans="1:42" ht="13.5" customHeight="1">
      <c r="A1704" s="1"/>
      <c r="B1704" s="1"/>
      <c r="C1704" s="26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</row>
    <row r="1705" spans="1:42" ht="13.5" customHeight="1">
      <c r="A1705" s="1"/>
      <c r="B1705" s="1"/>
      <c r="C1705" s="26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</row>
    <row r="1706" spans="1:42" ht="13.5" customHeight="1">
      <c r="A1706" s="1"/>
      <c r="B1706" s="1"/>
      <c r="C1706" s="26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</row>
    <row r="1707" spans="1:42" ht="13.5" customHeight="1">
      <c r="A1707" s="1"/>
      <c r="B1707" s="1"/>
      <c r="C1707" s="26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</row>
    <row r="1708" spans="1:42" ht="13.5" customHeight="1">
      <c r="A1708" s="1"/>
      <c r="B1708" s="1"/>
      <c r="C1708" s="26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</row>
    <row r="1709" spans="1:42" ht="13.5" customHeight="1">
      <c r="A1709" s="1"/>
      <c r="B1709" s="1"/>
      <c r="C1709" s="26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</row>
    <row r="1710" spans="1:42" ht="13.5" customHeight="1">
      <c r="A1710" s="1"/>
      <c r="B1710" s="1"/>
      <c r="C1710" s="26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</row>
    <row r="1711" spans="1:42" ht="13.5" customHeight="1">
      <c r="A1711" s="1"/>
      <c r="B1711" s="1"/>
      <c r="C1711" s="26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</row>
    <row r="1712" spans="1:42" ht="13.5" customHeight="1">
      <c r="A1712" s="1"/>
      <c r="B1712" s="1"/>
      <c r="C1712" s="26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</row>
    <row r="1713" spans="1:42" ht="13.5" customHeight="1">
      <c r="A1713" s="1"/>
      <c r="B1713" s="1"/>
      <c r="C1713" s="26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</row>
    <row r="1714" spans="1:42" ht="13.5" customHeight="1">
      <c r="A1714" s="1"/>
      <c r="B1714" s="1"/>
      <c r="C1714" s="26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</row>
    <row r="1715" spans="1:42" ht="13.5" customHeight="1">
      <c r="A1715" s="1"/>
      <c r="B1715" s="1"/>
      <c r="C1715" s="26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</row>
    <row r="1716" spans="1:42" ht="13.5" customHeight="1">
      <c r="A1716" s="1"/>
      <c r="B1716" s="1"/>
      <c r="C1716" s="26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</row>
    <row r="1717" spans="1:42" ht="13.5" customHeight="1">
      <c r="A1717" s="1"/>
      <c r="B1717" s="1"/>
      <c r="C1717" s="26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</row>
    <row r="1718" spans="1:42" ht="13.5" customHeight="1">
      <c r="A1718" s="1"/>
      <c r="B1718" s="1"/>
      <c r="C1718" s="26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</row>
    <row r="1719" spans="1:42" ht="13.5" customHeight="1">
      <c r="A1719" s="1"/>
      <c r="B1719" s="1"/>
      <c r="C1719" s="26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</row>
    <row r="1720" spans="1:42" ht="13.5" customHeight="1">
      <c r="A1720" s="1"/>
      <c r="B1720" s="1"/>
      <c r="C1720" s="26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</row>
    <row r="1721" spans="1:42" ht="13.5" customHeight="1">
      <c r="A1721" s="1"/>
      <c r="B1721" s="1"/>
      <c r="C1721" s="26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</row>
    <row r="1722" spans="1:42" ht="13.5" customHeight="1">
      <c r="A1722" s="1"/>
      <c r="B1722" s="1"/>
      <c r="C1722" s="26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</row>
    <row r="1723" spans="1:42" ht="13.5" customHeight="1">
      <c r="A1723" s="1"/>
      <c r="B1723" s="1"/>
      <c r="C1723" s="26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</row>
    <row r="1724" spans="1:42" ht="13.5" customHeight="1">
      <c r="A1724" s="1"/>
      <c r="B1724" s="1"/>
      <c r="C1724" s="26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</row>
    <row r="1725" spans="1:42" ht="13.5" customHeight="1">
      <c r="A1725" s="1"/>
      <c r="B1725" s="1"/>
      <c r="C1725" s="26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</row>
    <row r="1726" spans="1:42" ht="13.5" customHeight="1">
      <c r="A1726" s="1"/>
      <c r="B1726" s="1"/>
      <c r="C1726" s="26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</row>
    <row r="1727" spans="1:42" ht="13.5" customHeight="1">
      <c r="A1727" s="1"/>
      <c r="B1727" s="1"/>
      <c r="C1727" s="26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</row>
    <row r="1728" spans="1:42" ht="13.5" customHeight="1">
      <c r="A1728" s="1"/>
      <c r="B1728" s="1"/>
      <c r="C1728" s="26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</row>
    <row r="1729" spans="1:42" ht="13.5" customHeight="1">
      <c r="A1729" s="1"/>
      <c r="B1729" s="1"/>
      <c r="C1729" s="26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</row>
    <row r="1730" spans="1:42" ht="13.5" customHeight="1">
      <c r="A1730" s="1"/>
      <c r="B1730" s="1"/>
      <c r="C1730" s="26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</row>
    <row r="1731" spans="1:42" ht="13.5" customHeight="1">
      <c r="A1731" s="1"/>
      <c r="B1731" s="1"/>
      <c r="C1731" s="26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</row>
    <row r="1732" spans="1:42" ht="13.5" customHeight="1">
      <c r="A1732" s="1"/>
      <c r="B1732" s="1"/>
      <c r="C1732" s="26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</row>
    <row r="1733" spans="1:42" ht="13.5" customHeight="1">
      <c r="A1733" s="1"/>
      <c r="B1733" s="1"/>
      <c r="C1733" s="26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</row>
    <row r="1734" spans="1:42" ht="13.5" customHeight="1">
      <c r="A1734" s="1"/>
      <c r="B1734" s="1"/>
      <c r="C1734" s="26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</row>
    <row r="1735" spans="1:42" ht="13.5" customHeight="1">
      <c r="A1735" s="1"/>
      <c r="B1735" s="1"/>
      <c r="C1735" s="26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</row>
    <row r="1736" spans="1:42" ht="13.5" customHeight="1">
      <c r="A1736" s="1"/>
      <c r="B1736" s="1"/>
      <c r="C1736" s="26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</row>
    <row r="1737" spans="1:42" ht="13.5" customHeight="1">
      <c r="A1737" s="1"/>
      <c r="B1737" s="1"/>
      <c r="C1737" s="26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</row>
    <row r="1738" spans="1:42" ht="13.5" customHeight="1">
      <c r="A1738" s="1"/>
      <c r="B1738" s="1"/>
      <c r="C1738" s="26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</row>
    <row r="1739" spans="1:42" ht="13.5" customHeight="1">
      <c r="A1739" s="1"/>
      <c r="B1739" s="1"/>
      <c r="C1739" s="26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</row>
    <row r="1740" spans="1:42" ht="13.5" customHeight="1">
      <c r="A1740" s="1"/>
      <c r="B1740" s="1"/>
      <c r="C1740" s="26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</row>
    <row r="1741" spans="1:42" ht="13.5" customHeight="1">
      <c r="A1741" s="1"/>
      <c r="B1741" s="1"/>
      <c r="C1741" s="26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</row>
    <row r="1742" spans="1:42" ht="13.5" customHeight="1">
      <c r="A1742" s="1"/>
      <c r="B1742" s="1"/>
      <c r="C1742" s="26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</row>
    <row r="1743" spans="1:42" ht="13.5" customHeight="1">
      <c r="A1743" s="1"/>
      <c r="B1743" s="1"/>
      <c r="C1743" s="26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</row>
    <row r="1744" spans="1:42" ht="13.5" customHeight="1">
      <c r="A1744" s="1"/>
      <c r="B1744" s="1"/>
      <c r="C1744" s="26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</row>
    <row r="1745" spans="1:42" ht="13.5" customHeight="1">
      <c r="A1745" s="1"/>
      <c r="B1745" s="1"/>
      <c r="C1745" s="26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</row>
    <row r="1746" spans="1:42" ht="13.5" customHeight="1">
      <c r="A1746" s="1"/>
      <c r="B1746" s="1"/>
      <c r="C1746" s="26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</row>
    <row r="1747" spans="1:42" ht="13.5" customHeight="1">
      <c r="A1747" s="1"/>
      <c r="B1747" s="1"/>
      <c r="C1747" s="26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</row>
    <row r="1748" spans="1:42" ht="13.5" customHeight="1">
      <c r="A1748" s="1"/>
      <c r="B1748" s="1"/>
      <c r="C1748" s="26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</row>
    <row r="1749" spans="1:42" ht="13.5" customHeight="1">
      <c r="A1749" s="1"/>
      <c r="B1749" s="1"/>
      <c r="C1749" s="26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</row>
    <row r="1750" spans="1:42" ht="13.5" customHeight="1">
      <c r="A1750" s="1"/>
      <c r="B1750" s="1"/>
      <c r="C1750" s="26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</row>
    <row r="1751" spans="1:42" ht="13.5" customHeight="1">
      <c r="A1751" s="1"/>
      <c r="B1751" s="1"/>
      <c r="C1751" s="26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</row>
    <row r="1752" spans="1:42" ht="13.5" customHeight="1">
      <c r="A1752" s="1"/>
      <c r="B1752" s="1"/>
      <c r="C1752" s="26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</row>
    <row r="1753" spans="1:42" ht="13.5" customHeight="1">
      <c r="A1753" s="1"/>
      <c r="B1753" s="1"/>
      <c r="C1753" s="26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</row>
    <row r="1754" spans="1:42" ht="13.5" customHeight="1">
      <c r="A1754" s="1"/>
      <c r="B1754" s="1"/>
      <c r="C1754" s="26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</row>
    <row r="1755" spans="1:42" ht="13.5" customHeight="1">
      <c r="A1755" s="1"/>
      <c r="B1755" s="1"/>
      <c r="C1755" s="26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</row>
    <row r="1756" spans="1:42" ht="13.5" customHeight="1">
      <c r="A1756" s="1"/>
      <c r="B1756" s="1"/>
      <c r="C1756" s="26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</row>
    <row r="1757" spans="1:42" ht="13.5" customHeight="1">
      <c r="A1757" s="1"/>
      <c r="B1757" s="1"/>
      <c r="C1757" s="26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</row>
    <row r="1758" spans="1:42" ht="13.5" customHeight="1">
      <c r="A1758" s="1"/>
      <c r="B1758" s="1"/>
      <c r="C1758" s="26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</row>
    <row r="1759" spans="1:42" ht="13.5" customHeight="1">
      <c r="A1759" s="1"/>
      <c r="B1759" s="1"/>
      <c r="C1759" s="26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</row>
    <row r="1760" spans="1:42" ht="13.5" customHeight="1">
      <c r="A1760" s="1"/>
      <c r="B1760" s="1"/>
      <c r="C1760" s="26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</row>
    <row r="1761" spans="1:42" ht="13.5" customHeight="1">
      <c r="A1761" s="1"/>
      <c r="B1761" s="1"/>
      <c r="C1761" s="26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</row>
    <row r="1762" spans="1:42" ht="13.5" customHeight="1">
      <c r="A1762" s="1"/>
      <c r="B1762" s="1"/>
      <c r="C1762" s="26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</row>
    <row r="1763" spans="1:42" ht="13.5" customHeight="1">
      <c r="A1763" s="1"/>
      <c r="B1763" s="1"/>
      <c r="C1763" s="26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</row>
    <row r="1764" spans="1:42" ht="13.5" customHeight="1">
      <c r="A1764" s="1"/>
      <c r="B1764" s="1"/>
      <c r="C1764" s="26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</row>
    <row r="1765" spans="1:42" ht="13.5" customHeight="1">
      <c r="A1765" s="1"/>
      <c r="B1765" s="1"/>
      <c r="C1765" s="26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</row>
    <row r="1766" spans="1:42" ht="13.5" customHeight="1">
      <c r="A1766" s="1"/>
      <c r="B1766" s="1"/>
      <c r="C1766" s="26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</row>
    <row r="1767" spans="1:42" ht="13.5" customHeight="1">
      <c r="A1767" s="1"/>
      <c r="B1767" s="1"/>
      <c r="C1767" s="26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</row>
    <row r="1768" spans="1:42" ht="13.5" customHeight="1">
      <c r="A1768" s="1"/>
      <c r="B1768" s="1"/>
      <c r="C1768" s="26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</row>
    <row r="1769" spans="1:42" ht="13.5" customHeight="1">
      <c r="A1769" s="1"/>
      <c r="B1769" s="1"/>
      <c r="C1769" s="26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</row>
    <row r="1770" spans="1:42" ht="13.5" customHeight="1">
      <c r="A1770" s="1"/>
      <c r="B1770" s="1"/>
      <c r="C1770" s="26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</row>
    <row r="1771" spans="1:42" ht="13.5" customHeight="1">
      <c r="A1771" s="1"/>
      <c r="B1771" s="1"/>
      <c r="C1771" s="26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</row>
    <row r="1772" spans="1:42" ht="13.5" customHeight="1">
      <c r="A1772" s="1"/>
      <c r="B1772" s="1"/>
      <c r="C1772" s="26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</row>
    <row r="1773" spans="1:42" ht="13.5" customHeight="1">
      <c r="A1773" s="1"/>
      <c r="B1773" s="1"/>
      <c r="C1773" s="26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</row>
    <row r="1774" spans="1:42" ht="13.5" customHeight="1">
      <c r="A1774" s="1"/>
      <c r="B1774" s="1"/>
      <c r="C1774" s="26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</row>
    <row r="1775" spans="1:42" ht="13.5" customHeight="1">
      <c r="A1775" s="1"/>
      <c r="B1775" s="1"/>
      <c r="C1775" s="26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</row>
    <row r="1776" spans="1:42" ht="13.5" customHeight="1">
      <c r="A1776" s="1"/>
      <c r="B1776" s="1"/>
      <c r="C1776" s="26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</row>
    <row r="1777" spans="1:42" ht="13.5" customHeight="1">
      <c r="A1777" s="1"/>
      <c r="B1777" s="1"/>
      <c r="C1777" s="26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7"/>
      <c r="AG1777" s="7"/>
      <c r="AH1777" s="7"/>
      <c r="AI1777" s="7"/>
      <c r="AJ1777" s="7"/>
      <c r="AK1777" s="7"/>
      <c r="AL1777" s="7"/>
      <c r="AM1777" s="7"/>
      <c r="AN1777" s="7"/>
      <c r="AO1777" s="7"/>
      <c r="AP1777" s="7"/>
    </row>
    <row r="1778" spans="1:42" ht="13.5" customHeight="1">
      <c r="A1778" s="1"/>
      <c r="B1778" s="1"/>
      <c r="C1778" s="26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  <c r="AP1778" s="7"/>
    </row>
    <row r="1779" spans="1:42" ht="13.5" customHeight="1">
      <c r="A1779" s="1"/>
      <c r="B1779" s="1"/>
      <c r="C1779" s="26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  <c r="AP1779" s="7"/>
    </row>
    <row r="1780" spans="1:42" ht="13.5" customHeight="1">
      <c r="A1780" s="1"/>
      <c r="B1780" s="1"/>
      <c r="C1780" s="26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7"/>
      <c r="AG1780" s="7"/>
      <c r="AH1780" s="7"/>
      <c r="AI1780" s="7"/>
      <c r="AJ1780" s="7"/>
      <c r="AK1780" s="7"/>
      <c r="AL1780" s="7"/>
      <c r="AM1780" s="7"/>
      <c r="AN1780" s="7"/>
      <c r="AO1780" s="7"/>
      <c r="AP1780" s="7"/>
    </row>
    <row r="1781" spans="1:42" ht="13.5" customHeight="1">
      <c r="A1781" s="1"/>
      <c r="B1781" s="1"/>
      <c r="C1781" s="26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7"/>
      <c r="AG1781" s="7"/>
      <c r="AH1781" s="7"/>
      <c r="AI1781" s="7"/>
      <c r="AJ1781" s="7"/>
      <c r="AK1781" s="7"/>
      <c r="AL1781" s="7"/>
      <c r="AM1781" s="7"/>
      <c r="AN1781" s="7"/>
      <c r="AO1781" s="7"/>
      <c r="AP1781" s="7"/>
    </row>
    <row r="1782" spans="1:42" ht="13.5" customHeight="1">
      <c r="A1782" s="1"/>
      <c r="B1782" s="1"/>
      <c r="C1782" s="26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  <c r="AP1782" s="7"/>
    </row>
    <row r="1783" spans="1:42" ht="13.5" customHeight="1">
      <c r="A1783" s="1"/>
      <c r="B1783" s="1"/>
      <c r="C1783" s="26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7"/>
      <c r="AG1783" s="7"/>
      <c r="AH1783" s="7"/>
      <c r="AI1783" s="7"/>
      <c r="AJ1783" s="7"/>
      <c r="AK1783" s="7"/>
      <c r="AL1783" s="7"/>
      <c r="AM1783" s="7"/>
      <c r="AN1783" s="7"/>
      <c r="AO1783" s="7"/>
      <c r="AP1783" s="7"/>
    </row>
    <row r="1784" spans="1:42" ht="13.5" customHeight="1">
      <c r="A1784" s="1"/>
      <c r="B1784" s="1"/>
      <c r="C1784" s="26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7"/>
      <c r="AG1784" s="7"/>
      <c r="AH1784" s="7"/>
      <c r="AI1784" s="7"/>
      <c r="AJ1784" s="7"/>
      <c r="AK1784" s="7"/>
      <c r="AL1784" s="7"/>
      <c r="AM1784" s="7"/>
      <c r="AN1784" s="7"/>
      <c r="AO1784" s="7"/>
      <c r="AP1784" s="7"/>
    </row>
    <row r="1785" spans="1:42" ht="13.5" customHeight="1">
      <c r="A1785" s="1"/>
      <c r="B1785" s="1"/>
      <c r="C1785" s="26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  <c r="AP1785" s="7"/>
    </row>
    <row r="1786" spans="1:42" ht="13.5" customHeight="1">
      <c r="A1786" s="1"/>
      <c r="B1786" s="1"/>
      <c r="C1786" s="26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7"/>
      <c r="AG1786" s="7"/>
      <c r="AH1786" s="7"/>
      <c r="AI1786" s="7"/>
      <c r="AJ1786" s="7"/>
      <c r="AK1786" s="7"/>
      <c r="AL1786" s="7"/>
      <c r="AM1786" s="7"/>
      <c r="AN1786" s="7"/>
      <c r="AO1786" s="7"/>
      <c r="AP1786" s="7"/>
    </row>
    <row r="1787" spans="1:42" ht="13.5" customHeight="1">
      <c r="A1787" s="1"/>
      <c r="B1787" s="1"/>
      <c r="C1787" s="26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7"/>
      <c r="AG1787" s="7"/>
      <c r="AH1787" s="7"/>
      <c r="AI1787" s="7"/>
      <c r="AJ1787" s="7"/>
      <c r="AK1787" s="7"/>
      <c r="AL1787" s="7"/>
      <c r="AM1787" s="7"/>
      <c r="AN1787" s="7"/>
      <c r="AO1787" s="7"/>
      <c r="AP1787" s="7"/>
    </row>
    <row r="1788" spans="1:42" ht="13.5" customHeight="1">
      <c r="A1788" s="1"/>
      <c r="B1788" s="1"/>
      <c r="C1788" s="26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</row>
    <row r="1789" spans="1:42" ht="13.5" customHeight="1">
      <c r="A1789" s="1"/>
      <c r="B1789" s="1"/>
      <c r="C1789" s="26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  <c r="AP1789" s="7"/>
    </row>
    <row r="1790" spans="1:42" ht="13.5" customHeight="1">
      <c r="A1790" s="1"/>
      <c r="B1790" s="1"/>
      <c r="C1790" s="26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  <c r="AP1790" s="7"/>
    </row>
    <row r="1791" spans="1:42" ht="13.5" customHeight="1">
      <c r="A1791" s="1"/>
      <c r="B1791" s="1"/>
      <c r="C1791" s="26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7"/>
      <c r="AG1791" s="7"/>
      <c r="AH1791" s="7"/>
      <c r="AI1791" s="7"/>
      <c r="AJ1791" s="7"/>
      <c r="AK1791" s="7"/>
      <c r="AL1791" s="7"/>
      <c r="AM1791" s="7"/>
      <c r="AN1791" s="7"/>
      <c r="AO1791" s="7"/>
      <c r="AP1791" s="7"/>
    </row>
    <row r="1792" spans="1:42" ht="13.5" customHeight="1">
      <c r="A1792" s="1"/>
      <c r="B1792" s="1"/>
      <c r="C1792" s="26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7"/>
      <c r="AG1792" s="7"/>
      <c r="AH1792" s="7"/>
      <c r="AI1792" s="7"/>
      <c r="AJ1792" s="7"/>
      <c r="AK1792" s="7"/>
      <c r="AL1792" s="7"/>
      <c r="AM1792" s="7"/>
      <c r="AN1792" s="7"/>
      <c r="AO1792" s="7"/>
      <c r="AP1792" s="7"/>
    </row>
    <row r="1793" spans="1:42" ht="13.5" customHeight="1">
      <c r="A1793" s="1"/>
      <c r="B1793" s="1"/>
      <c r="C1793" s="26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</row>
    <row r="1794" spans="1:42" ht="13.5" customHeight="1">
      <c r="A1794" s="1"/>
      <c r="B1794" s="1"/>
      <c r="C1794" s="26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7"/>
      <c r="AG1794" s="7"/>
      <c r="AH1794" s="7"/>
      <c r="AI1794" s="7"/>
      <c r="AJ1794" s="7"/>
      <c r="AK1794" s="7"/>
      <c r="AL1794" s="7"/>
      <c r="AM1794" s="7"/>
      <c r="AN1794" s="7"/>
      <c r="AO1794" s="7"/>
      <c r="AP1794" s="7"/>
    </row>
    <row r="1795" spans="1:42" ht="13.5" customHeight="1">
      <c r="A1795" s="1"/>
      <c r="B1795" s="1"/>
      <c r="C1795" s="26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7"/>
      <c r="AG1795" s="7"/>
      <c r="AH1795" s="7"/>
      <c r="AI1795" s="7"/>
      <c r="AJ1795" s="7"/>
      <c r="AK1795" s="7"/>
      <c r="AL1795" s="7"/>
      <c r="AM1795" s="7"/>
      <c r="AN1795" s="7"/>
      <c r="AO1795" s="7"/>
      <c r="AP1795" s="7"/>
    </row>
    <row r="1796" spans="1:42" ht="13.5" customHeight="1">
      <c r="A1796" s="1"/>
      <c r="B1796" s="1"/>
      <c r="C1796" s="26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  <c r="AP1796" s="7"/>
    </row>
    <row r="1797" spans="1:42" ht="13.5" customHeight="1">
      <c r="A1797" s="1"/>
      <c r="B1797" s="1"/>
      <c r="C1797" s="26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  <c r="AP1797" s="7"/>
    </row>
    <row r="1798" spans="1:42" ht="13.5" customHeight="1">
      <c r="A1798" s="1"/>
      <c r="B1798" s="1"/>
      <c r="C1798" s="26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7"/>
      <c r="AG1798" s="7"/>
      <c r="AH1798" s="7"/>
      <c r="AI1798" s="7"/>
      <c r="AJ1798" s="7"/>
      <c r="AK1798" s="7"/>
      <c r="AL1798" s="7"/>
      <c r="AM1798" s="7"/>
      <c r="AN1798" s="7"/>
      <c r="AO1798" s="7"/>
      <c r="AP1798" s="7"/>
    </row>
    <row r="1799" spans="1:42" ht="13.5" customHeight="1">
      <c r="A1799" s="1"/>
      <c r="B1799" s="1"/>
      <c r="C1799" s="26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  <c r="AP1799" s="7"/>
    </row>
    <row r="1800" spans="1:42" ht="13.5" customHeight="1">
      <c r="A1800" s="1"/>
      <c r="B1800" s="1"/>
      <c r="C1800" s="26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  <c r="AP1800" s="7"/>
    </row>
    <row r="1801" spans="1:42" ht="13.5" customHeight="1">
      <c r="A1801" s="1"/>
      <c r="B1801" s="1"/>
      <c r="C1801" s="26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7"/>
      <c r="AG1801" s="7"/>
      <c r="AH1801" s="7"/>
      <c r="AI1801" s="7"/>
      <c r="AJ1801" s="7"/>
      <c r="AK1801" s="7"/>
      <c r="AL1801" s="7"/>
      <c r="AM1801" s="7"/>
      <c r="AN1801" s="7"/>
      <c r="AO1801" s="7"/>
      <c r="AP1801" s="7"/>
    </row>
    <row r="1802" spans="1:42" ht="13.5" customHeight="1">
      <c r="A1802" s="1"/>
      <c r="B1802" s="1"/>
      <c r="C1802" s="26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7"/>
      <c r="AG1802" s="7"/>
      <c r="AH1802" s="7"/>
      <c r="AI1802" s="7"/>
      <c r="AJ1802" s="7"/>
      <c r="AK1802" s="7"/>
      <c r="AL1802" s="7"/>
      <c r="AM1802" s="7"/>
      <c r="AN1802" s="7"/>
      <c r="AO1802" s="7"/>
      <c r="AP1802" s="7"/>
    </row>
    <row r="1803" spans="1:42" ht="13.5" customHeight="1">
      <c r="A1803" s="1"/>
      <c r="B1803" s="1"/>
      <c r="C1803" s="26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  <c r="AP1803" s="7"/>
    </row>
    <row r="1804" spans="1:42" ht="13.5" customHeight="1">
      <c r="A1804" s="1"/>
      <c r="B1804" s="1"/>
      <c r="C1804" s="26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  <c r="AP1804" s="7"/>
    </row>
    <row r="1805" spans="1:42" ht="13.5" customHeight="1">
      <c r="A1805" s="1"/>
      <c r="B1805" s="1"/>
      <c r="C1805" s="26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</row>
    <row r="1806" spans="1:42" ht="13.5" customHeight="1">
      <c r="A1806" s="1"/>
      <c r="B1806" s="1"/>
      <c r="C1806" s="26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7"/>
      <c r="AG1806" s="7"/>
      <c r="AH1806" s="7"/>
      <c r="AI1806" s="7"/>
      <c r="AJ1806" s="7"/>
      <c r="AK1806" s="7"/>
      <c r="AL1806" s="7"/>
      <c r="AM1806" s="7"/>
      <c r="AN1806" s="7"/>
      <c r="AO1806" s="7"/>
      <c r="AP1806" s="7"/>
    </row>
    <row r="1807" spans="1:42" ht="13.5" customHeight="1">
      <c r="A1807" s="1"/>
      <c r="B1807" s="1"/>
      <c r="C1807" s="26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  <c r="AP1807" s="7"/>
    </row>
    <row r="1808" spans="1:42" ht="13.5" customHeight="1">
      <c r="A1808" s="1"/>
      <c r="B1808" s="1"/>
      <c r="C1808" s="26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  <c r="AP1808" s="7"/>
    </row>
    <row r="1809" spans="1:42" ht="13.5" customHeight="1">
      <c r="A1809" s="1"/>
      <c r="B1809" s="1"/>
      <c r="C1809" s="26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7"/>
      <c r="AG1809" s="7"/>
      <c r="AH1809" s="7"/>
      <c r="AI1809" s="7"/>
      <c r="AJ1809" s="7"/>
      <c r="AK1809" s="7"/>
      <c r="AL1809" s="7"/>
      <c r="AM1809" s="7"/>
      <c r="AN1809" s="7"/>
      <c r="AO1809" s="7"/>
      <c r="AP1809" s="7"/>
    </row>
    <row r="1810" spans="1:42" ht="13.5" customHeight="1">
      <c r="A1810" s="1"/>
      <c r="B1810" s="1"/>
      <c r="C1810" s="26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7"/>
      <c r="AG1810" s="7"/>
      <c r="AH1810" s="7"/>
      <c r="AI1810" s="7"/>
      <c r="AJ1810" s="7"/>
      <c r="AK1810" s="7"/>
      <c r="AL1810" s="7"/>
      <c r="AM1810" s="7"/>
      <c r="AN1810" s="7"/>
      <c r="AO1810" s="7"/>
      <c r="AP1810" s="7"/>
    </row>
    <row r="1811" spans="1:42" ht="13.5" customHeight="1">
      <c r="A1811" s="1"/>
      <c r="B1811" s="1"/>
      <c r="C1811" s="26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  <c r="AP1811" s="7"/>
    </row>
    <row r="1812" spans="1:42" ht="13.5" customHeight="1">
      <c r="A1812" s="1"/>
      <c r="B1812" s="1"/>
      <c r="C1812" s="26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  <c r="AP1812" s="7"/>
    </row>
    <row r="1813" spans="1:42" ht="13.5" customHeight="1">
      <c r="A1813" s="1"/>
      <c r="B1813" s="1"/>
      <c r="C1813" s="26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  <c r="AP1813" s="7"/>
    </row>
    <row r="1814" spans="1:42" ht="13.5" customHeight="1">
      <c r="A1814" s="1"/>
      <c r="B1814" s="1"/>
      <c r="C1814" s="26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7"/>
      <c r="AG1814" s="7"/>
      <c r="AH1814" s="7"/>
      <c r="AI1814" s="7"/>
      <c r="AJ1814" s="7"/>
      <c r="AK1814" s="7"/>
      <c r="AL1814" s="7"/>
      <c r="AM1814" s="7"/>
      <c r="AN1814" s="7"/>
      <c r="AO1814" s="7"/>
      <c r="AP1814" s="7"/>
    </row>
    <row r="1815" spans="1:42" ht="13.5" customHeight="1">
      <c r="A1815" s="1"/>
      <c r="B1815" s="1"/>
      <c r="C1815" s="26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  <c r="AP1815" s="7"/>
    </row>
    <row r="1816" spans="1:42" ht="13.5" customHeight="1">
      <c r="A1816" s="1"/>
      <c r="B1816" s="1"/>
      <c r="C1816" s="26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  <c r="AP1816" s="7"/>
    </row>
    <row r="1817" spans="1:42" ht="13.5" customHeight="1">
      <c r="A1817" s="1"/>
      <c r="B1817" s="1"/>
      <c r="C1817" s="26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  <c r="AP1817" s="7"/>
    </row>
    <row r="1818" spans="1:42" ht="13.5" customHeight="1">
      <c r="A1818" s="1"/>
      <c r="B1818" s="1"/>
      <c r="C1818" s="26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  <c r="AP1818" s="7"/>
    </row>
    <row r="1819" spans="1:42" ht="13.5" customHeight="1">
      <c r="A1819" s="1"/>
      <c r="B1819" s="1"/>
      <c r="C1819" s="26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7"/>
      <c r="AG1819" s="7"/>
      <c r="AH1819" s="7"/>
      <c r="AI1819" s="7"/>
      <c r="AJ1819" s="7"/>
      <c r="AK1819" s="7"/>
      <c r="AL1819" s="7"/>
      <c r="AM1819" s="7"/>
      <c r="AN1819" s="7"/>
      <c r="AO1819" s="7"/>
      <c r="AP1819" s="7"/>
    </row>
    <row r="1820" spans="1:42" ht="13.5" customHeight="1">
      <c r="A1820" s="1"/>
      <c r="B1820" s="1"/>
      <c r="C1820" s="26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7"/>
      <c r="AG1820" s="7"/>
      <c r="AH1820" s="7"/>
      <c r="AI1820" s="7"/>
      <c r="AJ1820" s="7"/>
      <c r="AK1820" s="7"/>
      <c r="AL1820" s="7"/>
      <c r="AM1820" s="7"/>
      <c r="AN1820" s="7"/>
      <c r="AO1820" s="7"/>
      <c r="AP1820" s="7"/>
    </row>
    <row r="1821" spans="1:42" ht="13.5" customHeight="1">
      <c r="A1821" s="1"/>
      <c r="B1821" s="1"/>
      <c r="C1821" s="26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  <c r="AP1821" s="7"/>
    </row>
    <row r="1822" spans="1:42" ht="13.5" customHeight="1">
      <c r="A1822" s="1"/>
      <c r="B1822" s="1"/>
      <c r="C1822" s="26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7"/>
      <c r="AG1822" s="7"/>
      <c r="AH1822" s="7"/>
      <c r="AI1822" s="7"/>
      <c r="AJ1822" s="7"/>
      <c r="AK1822" s="7"/>
      <c r="AL1822" s="7"/>
      <c r="AM1822" s="7"/>
      <c r="AN1822" s="7"/>
      <c r="AO1822" s="7"/>
      <c r="AP1822" s="7"/>
    </row>
    <row r="1823" spans="1:42" ht="13.5" customHeight="1">
      <c r="A1823" s="1"/>
      <c r="B1823" s="1"/>
      <c r="C1823" s="26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  <c r="AP1823" s="7"/>
    </row>
    <row r="1824" spans="1:42" ht="13.5" customHeight="1">
      <c r="A1824" s="1"/>
      <c r="B1824" s="1"/>
      <c r="C1824" s="26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</row>
    <row r="1825" spans="1:42" ht="13.5" customHeight="1">
      <c r="A1825" s="1"/>
      <c r="B1825" s="1"/>
      <c r="C1825" s="26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  <c r="AP1825" s="7"/>
    </row>
    <row r="1826" spans="1:42" ht="13.5" customHeight="1">
      <c r="A1826" s="1"/>
      <c r="B1826" s="1"/>
      <c r="C1826" s="26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  <c r="AP1826" s="7"/>
    </row>
    <row r="1827" spans="1:42" ht="13.5" customHeight="1">
      <c r="A1827" s="1"/>
      <c r="B1827" s="1"/>
      <c r="C1827" s="26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7"/>
      <c r="AG1827" s="7"/>
      <c r="AH1827" s="7"/>
      <c r="AI1827" s="7"/>
      <c r="AJ1827" s="7"/>
      <c r="AK1827" s="7"/>
      <c r="AL1827" s="7"/>
      <c r="AM1827" s="7"/>
      <c r="AN1827" s="7"/>
      <c r="AO1827" s="7"/>
      <c r="AP1827" s="7"/>
    </row>
    <row r="1828" spans="1:42" ht="13.5" customHeight="1">
      <c r="A1828" s="1"/>
      <c r="B1828" s="1"/>
      <c r="C1828" s="26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</row>
    <row r="1829" spans="1:42" ht="13.5" customHeight="1">
      <c r="A1829" s="1"/>
      <c r="B1829" s="1"/>
      <c r="C1829" s="26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</row>
    <row r="1830" spans="1:42" ht="13.5" customHeight="1">
      <c r="A1830" s="1"/>
      <c r="B1830" s="1"/>
      <c r="C1830" s="26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</row>
    <row r="1831" spans="1:42" ht="13.5" customHeight="1">
      <c r="A1831" s="1"/>
      <c r="B1831" s="1"/>
      <c r="C1831" s="26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</row>
    <row r="1832" spans="1:42" ht="13.5" customHeight="1">
      <c r="A1832" s="1"/>
      <c r="B1832" s="1"/>
      <c r="C1832" s="26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  <c r="AP1832" s="7"/>
    </row>
    <row r="1833" spans="1:42" ht="13.5" customHeight="1">
      <c r="A1833" s="1"/>
      <c r="B1833" s="1"/>
      <c r="C1833" s="26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</row>
    <row r="1834" spans="1:42" ht="13.5" customHeight="1">
      <c r="A1834" s="1"/>
      <c r="B1834" s="1"/>
      <c r="C1834" s="26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</row>
    <row r="1835" spans="1:42" ht="13.5" customHeight="1">
      <c r="A1835" s="1"/>
      <c r="B1835" s="1"/>
      <c r="C1835" s="26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  <c r="AP1835" s="7"/>
    </row>
    <row r="1836" spans="1:42" ht="13.5" customHeight="1">
      <c r="A1836" s="1"/>
      <c r="B1836" s="1"/>
      <c r="C1836" s="26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</row>
    <row r="1837" spans="1:42" ht="13.5" customHeight="1">
      <c r="A1837" s="1"/>
      <c r="B1837" s="1"/>
      <c r="C1837" s="26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7"/>
      <c r="AG1837" s="7"/>
      <c r="AH1837" s="7"/>
      <c r="AI1837" s="7"/>
      <c r="AJ1837" s="7"/>
      <c r="AK1837" s="7"/>
      <c r="AL1837" s="7"/>
      <c r="AM1837" s="7"/>
      <c r="AN1837" s="7"/>
      <c r="AO1837" s="7"/>
      <c r="AP1837" s="7"/>
    </row>
    <row r="1838" spans="1:42" ht="13.5" customHeight="1">
      <c r="A1838" s="1"/>
      <c r="B1838" s="1"/>
      <c r="C1838" s="26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</row>
    <row r="1839" spans="1:42" ht="13.5" customHeight="1">
      <c r="A1839" s="1"/>
      <c r="B1839" s="1"/>
      <c r="C1839" s="26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</row>
    <row r="1840" spans="1:42" ht="13.5" customHeight="1">
      <c r="A1840" s="1"/>
      <c r="B1840" s="1"/>
      <c r="C1840" s="26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  <c r="AP1840" s="7"/>
    </row>
    <row r="1841" spans="1:42" ht="13.5" customHeight="1">
      <c r="A1841" s="1"/>
      <c r="B1841" s="1"/>
      <c r="C1841" s="26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  <c r="AP1841" s="7"/>
    </row>
    <row r="1842" spans="1:42" ht="13.5" customHeight="1">
      <c r="A1842" s="1"/>
      <c r="B1842" s="1"/>
      <c r="C1842" s="26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  <c r="AP1842" s="7"/>
    </row>
    <row r="1843" spans="1:42" ht="13.5" customHeight="1">
      <c r="A1843" s="1"/>
      <c r="B1843" s="1"/>
      <c r="C1843" s="26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</row>
    <row r="1844" spans="1:42" ht="13.5" customHeight="1">
      <c r="A1844" s="1"/>
      <c r="B1844" s="1"/>
      <c r="C1844" s="26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7"/>
      <c r="AG1844" s="7"/>
      <c r="AH1844" s="7"/>
      <c r="AI1844" s="7"/>
      <c r="AJ1844" s="7"/>
      <c r="AK1844" s="7"/>
      <c r="AL1844" s="7"/>
      <c r="AM1844" s="7"/>
      <c r="AN1844" s="7"/>
      <c r="AO1844" s="7"/>
      <c r="AP1844" s="7"/>
    </row>
    <row r="1845" spans="1:42" ht="13.5" customHeight="1">
      <c r="A1845" s="1"/>
      <c r="B1845" s="1"/>
      <c r="C1845" s="26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7"/>
      <c r="AG1845" s="7"/>
      <c r="AH1845" s="7"/>
      <c r="AI1845" s="7"/>
      <c r="AJ1845" s="7"/>
      <c r="AK1845" s="7"/>
      <c r="AL1845" s="7"/>
      <c r="AM1845" s="7"/>
      <c r="AN1845" s="7"/>
      <c r="AO1845" s="7"/>
      <c r="AP1845" s="7"/>
    </row>
    <row r="1846" spans="1:42" ht="13.5" customHeight="1">
      <c r="A1846" s="1"/>
      <c r="B1846" s="1"/>
      <c r="C1846" s="26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  <c r="AP1846" s="7"/>
    </row>
    <row r="1847" spans="1:42" ht="13.5" customHeight="1">
      <c r="A1847" s="1"/>
      <c r="B1847" s="1"/>
      <c r="C1847" s="26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  <c r="AP1847" s="7"/>
    </row>
    <row r="1848" spans="1:42" ht="13.5" customHeight="1">
      <c r="A1848" s="1"/>
      <c r="B1848" s="1"/>
      <c r="C1848" s="26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7"/>
      <c r="AG1848" s="7"/>
      <c r="AH1848" s="7"/>
      <c r="AI1848" s="7"/>
      <c r="AJ1848" s="7"/>
      <c r="AK1848" s="7"/>
      <c r="AL1848" s="7"/>
      <c r="AM1848" s="7"/>
      <c r="AN1848" s="7"/>
      <c r="AO1848" s="7"/>
      <c r="AP1848" s="7"/>
    </row>
    <row r="1849" spans="1:42" ht="13.5" customHeight="1">
      <c r="A1849" s="1"/>
      <c r="B1849" s="1"/>
      <c r="C1849" s="26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</row>
    <row r="1850" spans="1:42" ht="13.5" customHeight="1">
      <c r="A1850" s="1"/>
      <c r="B1850" s="1"/>
      <c r="C1850" s="26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7"/>
      <c r="AG1850" s="7"/>
      <c r="AH1850" s="7"/>
      <c r="AI1850" s="7"/>
      <c r="AJ1850" s="7"/>
      <c r="AK1850" s="7"/>
      <c r="AL1850" s="7"/>
      <c r="AM1850" s="7"/>
      <c r="AN1850" s="7"/>
      <c r="AO1850" s="7"/>
      <c r="AP1850" s="7"/>
    </row>
    <row r="1851" spans="1:42" ht="13.5" customHeight="1">
      <c r="A1851" s="1"/>
      <c r="B1851" s="1"/>
      <c r="C1851" s="26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7"/>
      <c r="AG1851" s="7"/>
      <c r="AH1851" s="7"/>
      <c r="AI1851" s="7"/>
      <c r="AJ1851" s="7"/>
      <c r="AK1851" s="7"/>
      <c r="AL1851" s="7"/>
      <c r="AM1851" s="7"/>
      <c r="AN1851" s="7"/>
      <c r="AO1851" s="7"/>
      <c r="AP1851" s="7"/>
    </row>
    <row r="1852" spans="1:42" ht="13.5" customHeight="1">
      <c r="A1852" s="1"/>
      <c r="B1852" s="1"/>
      <c r="C1852" s="26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7"/>
      <c r="AG1852" s="7"/>
      <c r="AH1852" s="7"/>
      <c r="AI1852" s="7"/>
      <c r="AJ1852" s="7"/>
      <c r="AK1852" s="7"/>
      <c r="AL1852" s="7"/>
      <c r="AM1852" s="7"/>
      <c r="AN1852" s="7"/>
      <c r="AO1852" s="7"/>
      <c r="AP1852" s="7"/>
    </row>
    <row r="1853" spans="1:42" ht="13.5" customHeight="1">
      <c r="A1853" s="1"/>
      <c r="B1853" s="1"/>
      <c r="C1853" s="26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7"/>
      <c r="AG1853" s="7"/>
      <c r="AH1853" s="7"/>
      <c r="AI1853" s="7"/>
      <c r="AJ1853" s="7"/>
      <c r="AK1853" s="7"/>
      <c r="AL1853" s="7"/>
      <c r="AM1853" s="7"/>
      <c r="AN1853" s="7"/>
      <c r="AO1853" s="7"/>
      <c r="AP1853" s="7"/>
    </row>
    <row r="1854" spans="1:42" ht="13.5" customHeight="1">
      <c r="A1854" s="1"/>
      <c r="B1854" s="1"/>
      <c r="C1854" s="26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  <c r="AP1854" s="7"/>
    </row>
    <row r="1855" spans="1:42" ht="13.5" customHeight="1">
      <c r="A1855" s="1"/>
      <c r="B1855" s="1"/>
      <c r="C1855" s="26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7"/>
      <c r="AG1855" s="7"/>
      <c r="AH1855" s="7"/>
      <c r="AI1855" s="7"/>
      <c r="AJ1855" s="7"/>
      <c r="AK1855" s="7"/>
      <c r="AL1855" s="7"/>
      <c r="AM1855" s="7"/>
      <c r="AN1855" s="7"/>
      <c r="AO1855" s="7"/>
      <c r="AP1855" s="7"/>
    </row>
    <row r="1856" spans="1:42" ht="13.5" customHeight="1">
      <c r="A1856" s="1"/>
      <c r="B1856" s="1"/>
      <c r="C1856" s="26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  <c r="AP1856" s="7"/>
    </row>
    <row r="1857" spans="1:42" ht="13.5" customHeight="1">
      <c r="A1857" s="1"/>
      <c r="B1857" s="1"/>
      <c r="C1857" s="26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  <c r="AP1857" s="7"/>
    </row>
    <row r="1858" spans="1:42" ht="13.5" customHeight="1">
      <c r="A1858" s="1"/>
      <c r="B1858" s="1"/>
      <c r="C1858" s="26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</row>
    <row r="1859" spans="1:42" ht="13.5" customHeight="1">
      <c r="A1859" s="1"/>
      <c r="B1859" s="1"/>
      <c r="C1859" s="26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  <c r="AP1859" s="7"/>
    </row>
    <row r="1860" spans="1:42" ht="13.5" customHeight="1">
      <c r="A1860" s="1"/>
      <c r="B1860" s="1"/>
      <c r="C1860" s="26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7"/>
      <c r="AG1860" s="7"/>
      <c r="AH1860" s="7"/>
      <c r="AI1860" s="7"/>
      <c r="AJ1860" s="7"/>
      <c r="AK1860" s="7"/>
      <c r="AL1860" s="7"/>
      <c r="AM1860" s="7"/>
      <c r="AN1860" s="7"/>
      <c r="AO1860" s="7"/>
      <c r="AP1860" s="7"/>
    </row>
    <row r="1861" spans="1:42" ht="13.5" customHeight="1">
      <c r="A1861" s="1"/>
      <c r="B1861" s="1"/>
      <c r="C1861" s="26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</row>
    <row r="1862" spans="1:42" ht="13.5" customHeight="1">
      <c r="A1862" s="1"/>
      <c r="B1862" s="1"/>
      <c r="C1862" s="26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  <c r="AP1862" s="7"/>
    </row>
    <row r="1863" spans="1:42" ht="13.5" customHeight="1">
      <c r="A1863" s="1"/>
      <c r="B1863" s="1"/>
      <c r="C1863" s="26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</row>
    <row r="1864" spans="1:42" ht="13.5" customHeight="1">
      <c r="A1864" s="1"/>
      <c r="B1864" s="1"/>
      <c r="C1864" s="26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  <c r="AP1864" s="7"/>
    </row>
    <row r="1865" spans="1:42" ht="13.5" customHeight="1">
      <c r="A1865" s="1"/>
      <c r="B1865" s="1"/>
      <c r="C1865" s="26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  <c r="AP1865" s="7"/>
    </row>
    <row r="1866" spans="1:42" ht="13.5" customHeight="1">
      <c r="A1866" s="1"/>
      <c r="B1866" s="1"/>
      <c r="C1866" s="26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  <c r="AP1866" s="7"/>
    </row>
    <row r="1867" spans="1:42" ht="13.5" customHeight="1">
      <c r="A1867" s="1"/>
      <c r="B1867" s="1"/>
      <c r="C1867" s="26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7"/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</row>
    <row r="1868" spans="1:42" ht="13.5" customHeight="1">
      <c r="A1868" s="1"/>
      <c r="B1868" s="1"/>
      <c r="C1868" s="26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7"/>
      <c r="AG1868" s="7"/>
      <c r="AH1868" s="7"/>
      <c r="AI1868" s="7"/>
      <c r="AJ1868" s="7"/>
      <c r="AK1868" s="7"/>
      <c r="AL1868" s="7"/>
      <c r="AM1868" s="7"/>
      <c r="AN1868" s="7"/>
      <c r="AO1868" s="7"/>
      <c r="AP1868" s="7"/>
    </row>
    <row r="1869" spans="1:42" ht="13.5" customHeight="1">
      <c r="A1869" s="1"/>
      <c r="B1869" s="1"/>
      <c r="C1869" s="26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7"/>
      <c r="AG1869" s="7"/>
      <c r="AH1869" s="7"/>
      <c r="AI1869" s="7"/>
      <c r="AJ1869" s="7"/>
      <c r="AK1869" s="7"/>
      <c r="AL1869" s="7"/>
      <c r="AM1869" s="7"/>
      <c r="AN1869" s="7"/>
      <c r="AO1869" s="7"/>
      <c r="AP1869" s="7"/>
    </row>
    <row r="1870" spans="1:42" ht="13.5" customHeight="1">
      <c r="A1870" s="1"/>
      <c r="B1870" s="1"/>
      <c r="C1870" s="26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7"/>
      <c r="AG1870" s="7"/>
      <c r="AH1870" s="7"/>
      <c r="AI1870" s="7"/>
      <c r="AJ1870" s="7"/>
      <c r="AK1870" s="7"/>
      <c r="AL1870" s="7"/>
      <c r="AM1870" s="7"/>
      <c r="AN1870" s="7"/>
      <c r="AO1870" s="7"/>
      <c r="AP1870" s="7"/>
    </row>
    <row r="1871" spans="1:42" ht="13.5" customHeight="1">
      <c r="A1871" s="1"/>
      <c r="B1871" s="1"/>
      <c r="C1871" s="26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7"/>
      <c r="AG1871" s="7"/>
      <c r="AH1871" s="7"/>
      <c r="AI1871" s="7"/>
      <c r="AJ1871" s="7"/>
      <c r="AK1871" s="7"/>
      <c r="AL1871" s="7"/>
      <c r="AM1871" s="7"/>
      <c r="AN1871" s="7"/>
      <c r="AO1871" s="7"/>
      <c r="AP1871" s="7"/>
    </row>
    <row r="1872" spans="1:42" ht="13.5" customHeight="1">
      <c r="A1872" s="1"/>
      <c r="B1872" s="1"/>
      <c r="C1872" s="26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7"/>
      <c r="AG1872" s="7"/>
      <c r="AH1872" s="7"/>
      <c r="AI1872" s="7"/>
      <c r="AJ1872" s="7"/>
      <c r="AK1872" s="7"/>
      <c r="AL1872" s="7"/>
      <c r="AM1872" s="7"/>
      <c r="AN1872" s="7"/>
      <c r="AO1872" s="7"/>
      <c r="AP1872" s="7"/>
    </row>
    <row r="1873" spans="1:42" ht="13.5" customHeight="1">
      <c r="A1873" s="1"/>
      <c r="B1873" s="1"/>
      <c r="C1873" s="26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</row>
    <row r="1874" spans="1:42" ht="13.5" customHeight="1">
      <c r="A1874" s="1"/>
      <c r="B1874" s="1"/>
      <c r="C1874" s="26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</row>
    <row r="1875" spans="1:42" ht="13.5" customHeight="1">
      <c r="A1875" s="1"/>
      <c r="B1875" s="1"/>
      <c r="C1875" s="26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</row>
    <row r="1876" spans="1:42" ht="13.5" customHeight="1">
      <c r="A1876" s="1"/>
      <c r="B1876" s="1"/>
      <c r="C1876" s="26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</row>
    <row r="1877" spans="1:42" ht="13.5" customHeight="1">
      <c r="A1877" s="1"/>
      <c r="B1877" s="1"/>
      <c r="C1877" s="26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</row>
    <row r="1878" spans="1:42" ht="13.5" customHeight="1">
      <c r="A1878" s="1"/>
      <c r="B1878" s="1"/>
      <c r="C1878" s="26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</row>
    <row r="1879" spans="1:42" ht="13.5" customHeight="1">
      <c r="A1879" s="1"/>
      <c r="B1879" s="1"/>
      <c r="C1879" s="26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</row>
    <row r="1880" spans="1:42" ht="13.5" customHeight="1">
      <c r="A1880" s="1"/>
      <c r="B1880" s="1"/>
      <c r="C1880" s="26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</row>
    <row r="1881" spans="1:42" ht="13.5" customHeight="1">
      <c r="A1881" s="1"/>
      <c r="B1881" s="1"/>
      <c r="C1881" s="26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</row>
    <row r="1882" spans="1:42" ht="13.5" customHeight="1">
      <c r="A1882" s="1"/>
      <c r="B1882" s="1"/>
      <c r="C1882" s="26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</row>
    <row r="1883" spans="1:42" ht="13.5" customHeight="1">
      <c r="A1883" s="1"/>
      <c r="B1883" s="1"/>
      <c r="C1883" s="26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</row>
    <row r="1884" spans="1:42" ht="13.5" customHeight="1">
      <c r="A1884" s="1"/>
      <c r="B1884" s="1"/>
      <c r="C1884" s="26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</row>
    <row r="1885" spans="1:42" ht="13.5" customHeight="1">
      <c r="A1885" s="1"/>
      <c r="B1885" s="1"/>
      <c r="C1885" s="26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  <c r="AP1885" s="7"/>
    </row>
    <row r="1886" spans="1:42" ht="13.5" customHeight="1">
      <c r="A1886" s="1"/>
      <c r="B1886" s="1"/>
      <c r="C1886" s="26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</row>
    <row r="1887" spans="1:42" ht="13.5" customHeight="1">
      <c r="A1887" s="1"/>
      <c r="B1887" s="1"/>
      <c r="C1887" s="26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</row>
    <row r="1888" spans="1:42" ht="13.5" customHeight="1">
      <c r="A1888" s="1"/>
      <c r="B1888" s="1"/>
      <c r="C1888" s="26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</row>
    <row r="1889" spans="1:42" ht="13.5" customHeight="1">
      <c r="A1889" s="1"/>
      <c r="B1889" s="1"/>
      <c r="C1889" s="26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</row>
    <row r="1890" spans="1:42" ht="13.5" customHeight="1">
      <c r="A1890" s="1"/>
      <c r="B1890" s="1"/>
      <c r="C1890" s="26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</row>
    <row r="1891" spans="1:42" ht="13.5" customHeight="1">
      <c r="A1891" s="1"/>
      <c r="B1891" s="1"/>
      <c r="C1891" s="26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</row>
    <row r="1892" spans="1:42" ht="13.5" customHeight="1">
      <c r="A1892" s="1"/>
      <c r="B1892" s="1"/>
      <c r="C1892" s="26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</row>
    <row r="1893" spans="1:42" ht="13.5" customHeight="1">
      <c r="A1893" s="1"/>
      <c r="B1893" s="1"/>
      <c r="C1893" s="26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</row>
    <row r="1894" spans="1:42" ht="13.5" customHeight="1">
      <c r="A1894" s="1"/>
      <c r="B1894" s="1"/>
      <c r="C1894" s="26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</row>
    <row r="1895" spans="1:42" ht="13.5" customHeight="1">
      <c r="A1895" s="1"/>
      <c r="B1895" s="1"/>
      <c r="C1895" s="26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</row>
    <row r="1896" spans="1:42" ht="13.5" customHeight="1">
      <c r="A1896" s="1"/>
      <c r="B1896" s="1"/>
      <c r="C1896" s="26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</row>
    <row r="1897" spans="1:42" ht="13.5" customHeight="1">
      <c r="A1897" s="1"/>
      <c r="B1897" s="1"/>
      <c r="C1897" s="26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</row>
    <row r="1898" spans="1:42" ht="13.5" customHeight="1">
      <c r="A1898" s="1"/>
      <c r="B1898" s="1"/>
      <c r="C1898" s="26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</row>
    <row r="1899" spans="1:42" ht="13.5" customHeight="1">
      <c r="A1899" s="1"/>
      <c r="B1899" s="1"/>
      <c r="C1899" s="26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</row>
    <row r="1900" spans="1:42" ht="13.5" customHeight="1">
      <c r="A1900" s="1"/>
      <c r="B1900" s="1"/>
      <c r="C1900" s="26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</row>
    <row r="1901" spans="1:42" ht="13.5" customHeight="1">
      <c r="A1901" s="1"/>
      <c r="B1901" s="1"/>
      <c r="C1901" s="26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</row>
    <row r="1902" spans="1:42" ht="13.5" customHeight="1">
      <c r="A1902" s="1"/>
      <c r="B1902" s="1"/>
      <c r="C1902" s="26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</row>
    <row r="1903" spans="1:42" ht="13.5" customHeight="1">
      <c r="A1903" s="1"/>
      <c r="B1903" s="1"/>
      <c r="C1903" s="26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</row>
    <row r="1904" spans="1:42" ht="13.5" customHeight="1">
      <c r="A1904" s="1"/>
      <c r="B1904" s="1"/>
      <c r="C1904" s="26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</row>
    <row r="1905" spans="1:42" ht="13.5" customHeight="1">
      <c r="A1905" s="1"/>
      <c r="B1905" s="1"/>
      <c r="C1905" s="26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</row>
    <row r="1906" spans="1:42" ht="13.5" customHeight="1">
      <c r="A1906" s="1"/>
      <c r="B1906" s="1"/>
      <c r="C1906" s="26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</row>
    <row r="1907" spans="1:42" ht="13.5" customHeight="1">
      <c r="A1907" s="1"/>
      <c r="B1907" s="1"/>
      <c r="C1907" s="26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</row>
    <row r="1908" spans="1:42" ht="13.5" customHeight="1">
      <c r="A1908" s="1"/>
      <c r="B1908" s="1"/>
      <c r="C1908" s="26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</row>
    <row r="1909" spans="1:42" ht="13.5" customHeight="1">
      <c r="A1909" s="1"/>
      <c r="B1909" s="1"/>
      <c r="C1909" s="26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</row>
    <row r="1910" spans="1:42" ht="13.5" customHeight="1">
      <c r="A1910" s="1"/>
      <c r="B1910" s="1"/>
      <c r="C1910" s="26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</row>
    <row r="1911" spans="1:42" ht="13.5" customHeight="1">
      <c r="A1911" s="1"/>
      <c r="B1911" s="1"/>
      <c r="C1911" s="26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</row>
    <row r="1912" spans="1:42" ht="13.5" customHeight="1">
      <c r="A1912" s="1"/>
      <c r="B1912" s="1"/>
      <c r="C1912" s="26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</row>
    <row r="1913" spans="1:42" ht="13.5" customHeight="1">
      <c r="A1913" s="1"/>
      <c r="B1913" s="1"/>
      <c r="C1913" s="26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</row>
    <row r="1914" spans="1:42" ht="13.5" customHeight="1">
      <c r="A1914" s="1"/>
      <c r="B1914" s="1"/>
      <c r="C1914" s="26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</row>
    <row r="1915" spans="1:42" ht="13.5" customHeight="1">
      <c r="A1915" s="1"/>
      <c r="B1915" s="1"/>
      <c r="C1915" s="26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</row>
    <row r="1916" spans="1:42" ht="13.5" customHeight="1">
      <c r="A1916" s="1"/>
      <c r="B1916" s="1"/>
      <c r="C1916" s="26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7"/>
      <c r="AG1916" s="7"/>
      <c r="AH1916" s="7"/>
      <c r="AI1916" s="7"/>
      <c r="AJ1916" s="7"/>
      <c r="AK1916" s="7"/>
      <c r="AL1916" s="7"/>
      <c r="AM1916" s="7"/>
      <c r="AN1916" s="7"/>
      <c r="AO1916" s="7"/>
      <c r="AP1916" s="7"/>
    </row>
    <row r="1917" spans="1:42" ht="13.5" customHeight="1">
      <c r="A1917" s="1"/>
      <c r="B1917" s="1"/>
      <c r="C1917" s="26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7"/>
      <c r="AG1917" s="7"/>
      <c r="AH1917" s="7"/>
      <c r="AI1917" s="7"/>
      <c r="AJ1917" s="7"/>
      <c r="AK1917" s="7"/>
      <c r="AL1917" s="7"/>
      <c r="AM1917" s="7"/>
      <c r="AN1917" s="7"/>
      <c r="AO1917" s="7"/>
      <c r="AP1917" s="7"/>
    </row>
    <row r="1918" spans="1:42" ht="13.5" customHeight="1">
      <c r="A1918" s="1"/>
      <c r="B1918" s="1"/>
      <c r="C1918" s="26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7"/>
      <c r="AG1918" s="7"/>
      <c r="AH1918" s="7"/>
      <c r="AI1918" s="7"/>
      <c r="AJ1918" s="7"/>
      <c r="AK1918" s="7"/>
      <c r="AL1918" s="7"/>
      <c r="AM1918" s="7"/>
      <c r="AN1918" s="7"/>
      <c r="AO1918" s="7"/>
      <c r="AP1918" s="7"/>
    </row>
    <row r="1919" spans="1:42" ht="13.5" customHeight="1">
      <c r="A1919" s="1"/>
      <c r="B1919" s="1"/>
      <c r="C1919" s="26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7"/>
      <c r="AG1919" s="7"/>
      <c r="AH1919" s="7"/>
      <c r="AI1919" s="7"/>
      <c r="AJ1919" s="7"/>
      <c r="AK1919" s="7"/>
      <c r="AL1919" s="7"/>
      <c r="AM1919" s="7"/>
      <c r="AN1919" s="7"/>
      <c r="AO1919" s="7"/>
      <c r="AP1919" s="7"/>
    </row>
    <row r="1920" spans="1:42" ht="13.5" customHeight="1">
      <c r="A1920" s="1"/>
      <c r="B1920" s="1"/>
      <c r="C1920" s="26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7"/>
      <c r="AG1920" s="7"/>
      <c r="AH1920" s="7"/>
      <c r="AI1920" s="7"/>
      <c r="AJ1920" s="7"/>
      <c r="AK1920" s="7"/>
      <c r="AL1920" s="7"/>
      <c r="AM1920" s="7"/>
      <c r="AN1920" s="7"/>
      <c r="AO1920" s="7"/>
      <c r="AP1920" s="7"/>
    </row>
    <row r="1921" spans="1:42" ht="13.5" customHeight="1">
      <c r="A1921" s="1"/>
      <c r="B1921" s="1"/>
      <c r="C1921" s="26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</row>
    <row r="1922" spans="1:42" ht="13.5" customHeight="1">
      <c r="A1922" s="1"/>
      <c r="B1922" s="1"/>
      <c r="C1922" s="26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  <c r="AP1922" s="7"/>
    </row>
    <row r="1923" spans="1:42" ht="13.5" customHeight="1">
      <c r="A1923" s="1"/>
      <c r="B1923" s="1"/>
      <c r="C1923" s="26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</row>
    <row r="1924" spans="1:42" ht="13.5" customHeight="1">
      <c r="A1924" s="1"/>
      <c r="B1924" s="1"/>
      <c r="C1924" s="26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</row>
    <row r="1925" spans="1:42" ht="13.5" customHeight="1">
      <c r="A1925" s="1"/>
      <c r="B1925" s="1"/>
      <c r="C1925" s="26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</row>
    <row r="1926" spans="1:42" ht="13.5" customHeight="1">
      <c r="A1926" s="1"/>
      <c r="B1926" s="1"/>
      <c r="C1926" s="26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7"/>
      <c r="AG1926" s="7"/>
      <c r="AH1926" s="7"/>
      <c r="AI1926" s="7"/>
      <c r="AJ1926" s="7"/>
      <c r="AK1926" s="7"/>
      <c r="AL1926" s="7"/>
      <c r="AM1926" s="7"/>
      <c r="AN1926" s="7"/>
      <c r="AO1926" s="7"/>
      <c r="AP1926" s="7"/>
    </row>
    <row r="1927" spans="1:42" ht="13.5" customHeight="1">
      <c r="A1927" s="1"/>
      <c r="B1927" s="1"/>
      <c r="C1927" s="26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</row>
    <row r="1928" spans="1:42" ht="13.5" customHeight="1">
      <c r="A1928" s="1"/>
      <c r="B1928" s="1"/>
      <c r="C1928" s="26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  <c r="AP1928" s="7"/>
    </row>
    <row r="1929" spans="1:42" ht="13.5" customHeight="1">
      <c r="A1929" s="1"/>
      <c r="B1929" s="1"/>
      <c r="C1929" s="26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</row>
    <row r="1930" spans="1:42" ht="13.5" customHeight="1">
      <c r="A1930" s="1"/>
      <c r="B1930" s="1"/>
      <c r="C1930" s="26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7"/>
      <c r="AG1930" s="7"/>
      <c r="AH1930" s="7"/>
      <c r="AI1930" s="7"/>
      <c r="AJ1930" s="7"/>
      <c r="AK1930" s="7"/>
      <c r="AL1930" s="7"/>
      <c r="AM1930" s="7"/>
      <c r="AN1930" s="7"/>
      <c r="AO1930" s="7"/>
      <c r="AP1930" s="7"/>
    </row>
    <row r="1931" spans="1:42" ht="13.5" customHeight="1">
      <c r="A1931" s="1"/>
      <c r="B1931" s="1"/>
      <c r="C1931" s="26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</row>
    <row r="1932" spans="1:42" ht="13.5" customHeight="1">
      <c r="A1932" s="1"/>
      <c r="B1932" s="1"/>
      <c r="C1932" s="26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</row>
    <row r="1933" spans="1:42" ht="13.5" customHeight="1">
      <c r="A1933" s="1"/>
      <c r="B1933" s="1"/>
      <c r="C1933" s="26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  <c r="AP1933" s="7"/>
    </row>
    <row r="1934" spans="1:42" ht="13.5" customHeight="1">
      <c r="A1934" s="1"/>
      <c r="B1934" s="1"/>
      <c r="C1934" s="26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</row>
    <row r="1935" spans="1:42" ht="13.5" customHeight="1">
      <c r="A1935" s="1"/>
      <c r="B1935" s="1"/>
      <c r="C1935" s="26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</row>
    <row r="1936" spans="1:42" ht="13.5" customHeight="1">
      <c r="A1936" s="1"/>
      <c r="B1936" s="1"/>
      <c r="C1936" s="26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</row>
    <row r="1937" spans="1:42" ht="13.5" customHeight="1">
      <c r="A1937" s="1"/>
      <c r="B1937" s="1"/>
      <c r="C1937" s="26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</row>
    <row r="1938" spans="1:42" ht="13.5" customHeight="1">
      <c r="A1938" s="1"/>
      <c r="B1938" s="1"/>
      <c r="C1938" s="26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</row>
    <row r="1939" spans="1:42" ht="13.5" customHeight="1">
      <c r="A1939" s="1"/>
      <c r="B1939" s="1"/>
      <c r="C1939" s="26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7"/>
      <c r="AG1939" s="7"/>
      <c r="AH1939" s="7"/>
      <c r="AI1939" s="7"/>
      <c r="AJ1939" s="7"/>
      <c r="AK1939" s="7"/>
      <c r="AL1939" s="7"/>
      <c r="AM1939" s="7"/>
      <c r="AN1939" s="7"/>
      <c r="AO1939" s="7"/>
      <c r="AP1939" s="7"/>
    </row>
    <row r="1940" spans="1:42" ht="13.5" customHeight="1">
      <c r="A1940" s="1"/>
      <c r="B1940" s="1"/>
      <c r="C1940" s="26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</row>
    <row r="1941" spans="1:42" ht="13.5" customHeight="1">
      <c r="A1941" s="1"/>
      <c r="B1941" s="1"/>
      <c r="C1941" s="26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  <c r="AP1941" s="7"/>
    </row>
    <row r="1942" spans="1:42" ht="13.5" customHeight="1">
      <c r="A1942" s="1"/>
      <c r="B1942" s="1"/>
      <c r="C1942" s="26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7"/>
      <c r="AG1942" s="7"/>
      <c r="AH1942" s="7"/>
      <c r="AI1942" s="7"/>
      <c r="AJ1942" s="7"/>
      <c r="AK1942" s="7"/>
      <c r="AL1942" s="7"/>
      <c r="AM1942" s="7"/>
      <c r="AN1942" s="7"/>
      <c r="AO1942" s="7"/>
      <c r="AP1942" s="7"/>
    </row>
    <row r="1943" spans="1:42" ht="13.5" customHeight="1">
      <c r="A1943" s="1"/>
      <c r="B1943" s="1"/>
      <c r="C1943" s="26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</row>
    <row r="1944" spans="1:42" ht="13.5" customHeight="1">
      <c r="A1944" s="1"/>
      <c r="B1944" s="1"/>
      <c r="C1944" s="26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</row>
    <row r="1945" spans="1:42" ht="13.5" customHeight="1">
      <c r="A1945" s="1"/>
      <c r="B1945" s="1"/>
      <c r="C1945" s="26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</row>
    <row r="1946" spans="1:42" ht="13.5" customHeight="1">
      <c r="A1946" s="1"/>
      <c r="B1946" s="1"/>
      <c r="C1946" s="26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  <c r="AP1946" s="7"/>
    </row>
    <row r="1947" spans="1:42" ht="13.5" customHeight="1">
      <c r="A1947" s="1"/>
      <c r="B1947" s="1"/>
      <c r="C1947" s="26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</row>
    <row r="1948" spans="1:42" ht="13.5" customHeight="1">
      <c r="A1948" s="1"/>
      <c r="B1948" s="1"/>
      <c r="C1948" s="26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</row>
    <row r="1949" spans="1:42" ht="13.5" customHeight="1">
      <c r="A1949" s="1"/>
      <c r="B1949" s="1"/>
      <c r="C1949" s="26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</row>
    <row r="1950" spans="1:42" ht="13.5" customHeight="1">
      <c r="A1950" s="1"/>
      <c r="B1950" s="1"/>
      <c r="C1950" s="26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7"/>
      <c r="AG1950" s="7"/>
      <c r="AH1950" s="7"/>
      <c r="AI1950" s="7"/>
      <c r="AJ1950" s="7"/>
      <c r="AK1950" s="7"/>
      <c r="AL1950" s="7"/>
      <c r="AM1950" s="7"/>
      <c r="AN1950" s="7"/>
      <c r="AO1950" s="7"/>
      <c r="AP1950" s="7"/>
    </row>
    <row r="1951" spans="1:42" ht="13.5" customHeight="1">
      <c r="A1951" s="1"/>
      <c r="B1951" s="1"/>
      <c r="C1951" s="26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  <c r="AP1951" s="7"/>
    </row>
    <row r="1952" spans="1:42" ht="13.5" customHeight="1">
      <c r="A1952" s="1"/>
      <c r="B1952" s="1"/>
      <c r="C1952" s="26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  <c r="AP1952" s="7"/>
    </row>
    <row r="1953" spans="1:42" ht="13.5" customHeight="1">
      <c r="A1953" s="1"/>
      <c r="B1953" s="1"/>
      <c r="C1953" s="26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7"/>
      <c r="AG1953" s="7"/>
      <c r="AH1953" s="7"/>
      <c r="AI1953" s="7"/>
      <c r="AJ1953" s="7"/>
      <c r="AK1953" s="7"/>
      <c r="AL1953" s="7"/>
      <c r="AM1953" s="7"/>
      <c r="AN1953" s="7"/>
      <c r="AO1953" s="7"/>
      <c r="AP1953" s="7"/>
    </row>
    <row r="1954" spans="1:42" ht="13.5" customHeight="1">
      <c r="A1954" s="1"/>
      <c r="B1954" s="1"/>
      <c r="C1954" s="26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7"/>
      <c r="AG1954" s="7"/>
      <c r="AH1954" s="7"/>
      <c r="AI1954" s="7"/>
      <c r="AJ1954" s="7"/>
      <c r="AK1954" s="7"/>
      <c r="AL1954" s="7"/>
      <c r="AM1954" s="7"/>
      <c r="AN1954" s="7"/>
      <c r="AO1954" s="7"/>
      <c r="AP1954" s="7"/>
    </row>
    <row r="1955" spans="1:42" ht="13.5" customHeight="1">
      <c r="A1955" s="1"/>
      <c r="B1955" s="1"/>
      <c r="C1955" s="26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7"/>
      <c r="AG1955" s="7"/>
      <c r="AH1955" s="7"/>
      <c r="AI1955" s="7"/>
      <c r="AJ1955" s="7"/>
      <c r="AK1955" s="7"/>
      <c r="AL1955" s="7"/>
      <c r="AM1955" s="7"/>
      <c r="AN1955" s="7"/>
      <c r="AO1955" s="7"/>
      <c r="AP1955" s="7"/>
    </row>
    <row r="1956" spans="1:42" ht="13.5" customHeight="1">
      <c r="A1956" s="1"/>
      <c r="B1956" s="1"/>
      <c r="C1956" s="26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7"/>
      <c r="AG1956" s="7"/>
      <c r="AH1956" s="7"/>
      <c r="AI1956" s="7"/>
      <c r="AJ1956" s="7"/>
      <c r="AK1956" s="7"/>
      <c r="AL1956" s="7"/>
      <c r="AM1956" s="7"/>
      <c r="AN1956" s="7"/>
      <c r="AO1956" s="7"/>
      <c r="AP1956" s="7"/>
    </row>
    <row r="1957" spans="1:42" ht="13.5" customHeight="1">
      <c r="A1957" s="1"/>
      <c r="B1957" s="1"/>
      <c r="C1957" s="26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7"/>
      <c r="AG1957" s="7"/>
      <c r="AH1957" s="7"/>
      <c r="AI1957" s="7"/>
      <c r="AJ1957" s="7"/>
      <c r="AK1957" s="7"/>
      <c r="AL1957" s="7"/>
      <c r="AM1957" s="7"/>
      <c r="AN1957" s="7"/>
      <c r="AO1957" s="7"/>
      <c r="AP1957" s="7"/>
    </row>
    <row r="1958" spans="1:42" ht="13.5" customHeight="1">
      <c r="A1958" s="1"/>
      <c r="B1958" s="1"/>
      <c r="C1958" s="26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7"/>
      <c r="AG1958" s="7"/>
      <c r="AH1958" s="7"/>
      <c r="AI1958" s="7"/>
      <c r="AJ1958" s="7"/>
      <c r="AK1958" s="7"/>
      <c r="AL1958" s="7"/>
      <c r="AM1958" s="7"/>
      <c r="AN1958" s="7"/>
      <c r="AO1958" s="7"/>
      <c r="AP1958" s="7"/>
    </row>
    <row r="1959" spans="1:42" ht="13.5" customHeight="1">
      <c r="A1959" s="1"/>
      <c r="B1959" s="1"/>
      <c r="C1959" s="26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7"/>
      <c r="AG1959" s="7"/>
      <c r="AH1959" s="7"/>
      <c r="AI1959" s="7"/>
      <c r="AJ1959" s="7"/>
      <c r="AK1959" s="7"/>
      <c r="AL1959" s="7"/>
      <c r="AM1959" s="7"/>
      <c r="AN1959" s="7"/>
      <c r="AO1959" s="7"/>
      <c r="AP1959" s="7"/>
    </row>
    <row r="1960" spans="1:42" ht="13.5" customHeight="1">
      <c r="A1960" s="1"/>
      <c r="B1960" s="1"/>
      <c r="C1960" s="26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7"/>
      <c r="AG1960" s="7"/>
      <c r="AH1960" s="7"/>
      <c r="AI1960" s="7"/>
      <c r="AJ1960" s="7"/>
      <c r="AK1960" s="7"/>
      <c r="AL1960" s="7"/>
      <c r="AM1960" s="7"/>
      <c r="AN1960" s="7"/>
      <c r="AO1960" s="7"/>
      <c r="AP1960" s="7"/>
    </row>
    <row r="1961" spans="1:42" ht="13.5" customHeight="1">
      <c r="A1961" s="1"/>
      <c r="B1961" s="1"/>
      <c r="C1961" s="26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  <c r="AP1961" s="7"/>
    </row>
    <row r="1962" spans="1:42" ht="13.5" customHeight="1">
      <c r="A1962" s="1"/>
      <c r="B1962" s="1"/>
      <c r="C1962" s="26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7"/>
      <c r="AG1962" s="7"/>
      <c r="AH1962" s="7"/>
      <c r="AI1962" s="7"/>
      <c r="AJ1962" s="7"/>
      <c r="AK1962" s="7"/>
      <c r="AL1962" s="7"/>
      <c r="AM1962" s="7"/>
      <c r="AN1962" s="7"/>
      <c r="AO1962" s="7"/>
      <c r="AP1962" s="7"/>
    </row>
    <row r="1963" spans="1:42" ht="13.5" customHeight="1">
      <c r="A1963" s="1"/>
      <c r="B1963" s="1"/>
      <c r="C1963" s="26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</row>
    <row r="1964" spans="1:42" ht="13.5" customHeight="1">
      <c r="A1964" s="1"/>
      <c r="B1964" s="1"/>
      <c r="C1964" s="26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  <c r="AP1964" s="7"/>
    </row>
    <row r="1965" spans="1:42" ht="13.5" customHeight="1">
      <c r="A1965" s="1"/>
      <c r="B1965" s="1"/>
      <c r="C1965" s="26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</row>
    <row r="1966" spans="1:42" ht="13.5" customHeight="1">
      <c r="A1966" s="1"/>
      <c r="B1966" s="1"/>
      <c r="C1966" s="26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</row>
    <row r="1967" spans="1:42" ht="13.5" customHeight="1">
      <c r="A1967" s="1"/>
      <c r="B1967" s="1"/>
      <c r="C1967" s="26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7"/>
      <c r="AG1967" s="7"/>
      <c r="AH1967" s="7"/>
      <c r="AI1967" s="7"/>
      <c r="AJ1967" s="7"/>
      <c r="AK1967" s="7"/>
      <c r="AL1967" s="7"/>
      <c r="AM1967" s="7"/>
      <c r="AN1967" s="7"/>
      <c r="AO1967" s="7"/>
      <c r="AP1967" s="7"/>
    </row>
    <row r="1968" spans="1:42" ht="13.5" customHeight="1">
      <c r="A1968" s="1"/>
      <c r="B1968" s="1"/>
      <c r="C1968" s="26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  <c r="AP1968" s="7"/>
    </row>
    <row r="1969" spans="1:42" ht="13.5" customHeight="1">
      <c r="A1969" s="1"/>
      <c r="B1969" s="1"/>
      <c r="C1969" s="26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7"/>
      <c r="AG1969" s="7"/>
      <c r="AH1969" s="7"/>
      <c r="AI1969" s="7"/>
      <c r="AJ1969" s="7"/>
      <c r="AK1969" s="7"/>
      <c r="AL1969" s="7"/>
      <c r="AM1969" s="7"/>
      <c r="AN1969" s="7"/>
      <c r="AO1969" s="7"/>
      <c r="AP1969" s="7"/>
    </row>
    <row r="1970" spans="1:42" ht="13.5" customHeight="1">
      <c r="A1970" s="1"/>
      <c r="B1970" s="1"/>
      <c r="C1970" s="26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7"/>
      <c r="AG1970" s="7"/>
      <c r="AH1970" s="7"/>
      <c r="AI1970" s="7"/>
      <c r="AJ1970" s="7"/>
      <c r="AK1970" s="7"/>
      <c r="AL1970" s="7"/>
      <c r="AM1970" s="7"/>
      <c r="AN1970" s="7"/>
      <c r="AO1970" s="7"/>
      <c r="AP1970" s="7"/>
    </row>
    <row r="1971" spans="1:42" ht="13.5" customHeight="1">
      <c r="A1971" s="1"/>
      <c r="B1971" s="1"/>
      <c r="C1971" s="26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7"/>
      <c r="AG1971" s="7"/>
      <c r="AH1971" s="7"/>
      <c r="AI1971" s="7"/>
      <c r="AJ1971" s="7"/>
      <c r="AK1971" s="7"/>
      <c r="AL1971" s="7"/>
      <c r="AM1971" s="7"/>
      <c r="AN1971" s="7"/>
      <c r="AO1971" s="7"/>
      <c r="AP1971" s="7"/>
    </row>
    <row r="1972" spans="1:42" ht="13.5" customHeight="1">
      <c r="A1972" s="1"/>
      <c r="B1972" s="1"/>
      <c r="C1972" s="26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7"/>
      <c r="AG1972" s="7"/>
      <c r="AH1972" s="7"/>
      <c r="AI1972" s="7"/>
      <c r="AJ1972" s="7"/>
      <c r="AK1972" s="7"/>
      <c r="AL1972" s="7"/>
      <c r="AM1972" s="7"/>
      <c r="AN1972" s="7"/>
      <c r="AO1972" s="7"/>
      <c r="AP1972" s="7"/>
    </row>
    <row r="1973" spans="1:42" ht="13.5" customHeight="1">
      <c r="A1973" s="1"/>
      <c r="B1973" s="1"/>
      <c r="C1973" s="26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7"/>
      <c r="AG1973" s="7"/>
      <c r="AH1973" s="7"/>
      <c r="AI1973" s="7"/>
      <c r="AJ1973" s="7"/>
      <c r="AK1973" s="7"/>
      <c r="AL1973" s="7"/>
      <c r="AM1973" s="7"/>
      <c r="AN1973" s="7"/>
      <c r="AO1973" s="7"/>
      <c r="AP1973" s="7"/>
    </row>
    <row r="1974" spans="1:42" ht="13.5" customHeight="1">
      <c r="A1974" s="1"/>
      <c r="B1974" s="1"/>
      <c r="C1974" s="26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7"/>
      <c r="AG1974" s="7"/>
      <c r="AH1974" s="7"/>
      <c r="AI1974" s="7"/>
      <c r="AJ1974" s="7"/>
      <c r="AK1974" s="7"/>
      <c r="AL1974" s="7"/>
      <c r="AM1974" s="7"/>
      <c r="AN1974" s="7"/>
      <c r="AO1974" s="7"/>
      <c r="AP1974" s="7"/>
    </row>
    <row r="1975" spans="1:42" ht="13.5" customHeight="1">
      <c r="A1975" s="1"/>
      <c r="B1975" s="1"/>
      <c r="C1975" s="26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7"/>
      <c r="AG1975" s="7"/>
      <c r="AH1975" s="7"/>
      <c r="AI1975" s="7"/>
      <c r="AJ1975" s="7"/>
      <c r="AK1975" s="7"/>
      <c r="AL1975" s="7"/>
      <c r="AM1975" s="7"/>
      <c r="AN1975" s="7"/>
      <c r="AO1975" s="7"/>
      <c r="AP1975" s="7"/>
    </row>
    <row r="1976" spans="1:42" ht="13.5" customHeight="1">
      <c r="A1976" s="1"/>
      <c r="B1976" s="1"/>
      <c r="C1976" s="26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7"/>
      <c r="AG1976" s="7"/>
      <c r="AH1976" s="7"/>
      <c r="AI1976" s="7"/>
      <c r="AJ1976" s="7"/>
      <c r="AK1976" s="7"/>
      <c r="AL1976" s="7"/>
      <c r="AM1976" s="7"/>
      <c r="AN1976" s="7"/>
      <c r="AO1976" s="7"/>
      <c r="AP1976" s="7"/>
    </row>
    <row r="1977" spans="1:42" ht="13.5" customHeight="1">
      <c r="A1977" s="1"/>
      <c r="B1977" s="1"/>
      <c r="C1977" s="26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7"/>
      <c r="AG1977" s="7"/>
      <c r="AH1977" s="7"/>
      <c r="AI1977" s="7"/>
      <c r="AJ1977" s="7"/>
      <c r="AK1977" s="7"/>
      <c r="AL1977" s="7"/>
      <c r="AM1977" s="7"/>
      <c r="AN1977" s="7"/>
      <c r="AO1977" s="7"/>
      <c r="AP1977" s="7"/>
    </row>
    <row r="1978" spans="1:42" ht="13.5" customHeight="1">
      <c r="A1978" s="1"/>
      <c r="B1978" s="1"/>
      <c r="C1978" s="26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7"/>
      <c r="AG1978" s="7"/>
      <c r="AH1978" s="7"/>
      <c r="AI1978" s="7"/>
      <c r="AJ1978" s="7"/>
      <c r="AK1978" s="7"/>
      <c r="AL1978" s="7"/>
      <c r="AM1978" s="7"/>
      <c r="AN1978" s="7"/>
      <c r="AO1978" s="7"/>
      <c r="AP1978" s="7"/>
    </row>
    <row r="1979" spans="1:42" ht="13.5" customHeight="1">
      <c r="A1979" s="1"/>
      <c r="B1979" s="1"/>
      <c r="C1979" s="26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7"/>
      <c r="AG1979" s="7"/>
      <c r="AH1979" s="7"/>
      <c r="AI1979" s="7"/>
      <c r="AJ1979" s="7"/>
      <c r="AK1979" s="7"/>
      <c r="AL1979" s="7"/>
      <c r="AM1979" s="7"/>
      <c r="AN1979" s="7"/>
      <c r="AO1979" s="7"/>
      <c r="AP1979" s="7"/>
    </row>
    <row r="1980" spans="1:42" ht="13.5" customHeight="1">
      <c r="A1980" s="1"/>
      <c r="B1980" s="1"/>
      <c r="C1980" s="26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7"/>
      <c r="AG1980" s="7"/>
      <c r="AH1980" s="7"/>
      <c r="AI1980" s="7"/>
      <c r="AJ1980" s="7"/>
      <c r="AK1980" s="7"/>
      <c r="AL1980" s="7"/>
      <c r="AM1980" s="7"/>
      <c r="AN1980" s="7"/>
      <c r="AO1980" s="7"/>
      <c r="AP1980" s="7"/>
    </row>
    <row r="1981" spans="1:42" ht="13.5" customHeight="1">
      <c r="A1981" s="1"/>
      <c r="B1981" s="1"/>
      <c r="C1981" s="26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  <c r="AP1981" s="7"/>
    </row>
    <row r="1982" spans="1:42" ht="13.5" customHeight="1">
      <c r="A1982" s="1"/>
      <c r="B1982" s="1"/>
      <c r="C1982" s="26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  <c r="AP1982" s="7"/>
    </row>
    <row r="1983" spans="1:42" ht="13.5" customHeight="1">
      <c r="A1983" s="1"/>
      <c r="B1983" s="1"/>
      <c r="C1983" s="26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7"/>
      <c r="AG1983" s="7"/>
      <c r="AH1983" s="7"/>
      <c r="AI1983" s="7"/>
      <c r="AJ1983" s="7"/>
      <c r="AK1983" s="7"/>
      <c r="AL1983" s="7"/>
      <c r="AM1983" s="7"/>
      <c r="AN1983" s="7"/>
      <c r="AO1983" s="7"/>
      <c r="AP1983" s="7"/>
    </row>
    <row r="1984" spans="1:42" ht="13.5" customHeight="1">
      <c r="A1984" s="1"/>
      <c r="B1984" s="1"/>
      <c r="C1984" s="26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7"/>
      <c r="AG1984" s="7"/>
      <c r="AH1984" s="7"/>
      <c r="AI1984" s="7"/>
      <c r="AJ1984" s="7"/>
      <c r="AK1984" s="7"/>
      <c r="AL1984" s="7"/>
      <c r="AM1984" s="7"/>
      <c r="AN1984" s="7"/>
      <c r="AO1984" s="7"/>
      <c r="AP1984" s="7"/>
    </row>
  </sheetData>
  <conditionalFormatting sqref="J1:M1 N1:N47 M10:M1984 H48 N49:N1984 L251:L1984 J573:K1984">
    <cfRule type="expression" dxfId="72" priority="1">
      <formula>AND(ISNUMBER(J1),TRUNC(J1)&gt;TODAY())</formula>
    </cfRule>
  </conditionalFormatting>
  <dataValidations count="1">
    <dataValidation type="custom" allowBlank="1" showDropDown="1" sqref="E2:E41 E43:E46 E60 E76:E77 E81:E82">
      <formula1>OR(NOT(ISERROR(DATEVALUE(E2))), AND(ISNUMBER(E2), LEFT(CELL("format", E2))="D"))</formula1>
    </dataValidation>
  </dataValidations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84"/>
  <sheetViews>
    <sheetView rightToLeft="1" workbookViewId="0">
      <selection activeCell="G8" sqref="G8"/>
    </sheetView>
  </sheetViews>
  <sheetFormatPr defaultColWidth="14.42578125" defaultRowHeight="15.75" customHeight="1"/>
  <cols>
    <col min="1" max="1" width="4.28515625" customWidth="1"/>
    <col min="2" max="2" width="26.5703125" customWidth="1"/>
    <col min="3" max="3" width="16.7109375" customWidth="1"/>
    <col min="4" max="4" width="26.140625" customWidth="1"/>
    <col min="5" max="5" width="21.28515625" customWidth="1"/>
    <col min="6" max="6" width="9.7109375" customWidth="1"/>
    <col min="7" max="7" width="48.42578125" customWidth="1"/>
    <col min="8" max="8" width="8.5703125" customWidth="1"/>
    <col min="9" max="9" width="14" customWidth="1"/>
    <col min="10" max="10" width="21.140625" customWidth="1"/>
    <col min="11" max="11" width="21.85546875" customWidth="1"/>
    <col min="12" max="12" width="42.28515625" customWidth="1"/>
    <col min="13" max="13" width="11.28515625" customWidth="1"/>
    <col min="14" max="14" width="12.7109375" customWidth="1"/>
    <col min="15" max="15" width="7.7109375" customWidth="1"/>
    <col min="16" max="16" width="11" customWidth="1"/>
    <col min="17" max="17" width="12.7109375" customWidth="1"/>
    <col min="18" max="18" width="9.85546875" customWidth="1"/>
    <col min="19" max="19" width="10.140625" customWidth="1"/>
    <col min="20" max="20" width="12.7109375" customWidth="1"/>
    <col min="21" max="22" width="9.85546875" customWidth="1"/>
    <col min="23" max="23" width="13.42578125" customWidth="1"/>
    <col min="24" max="24" width="12.28515625" customWidth="1"/>
    <col min="25" max="41" width="9.85546875" customWidth="1"/>
  </cols>
  <sheetData>
    <row r="1" spans="1:41" ht="13.5" customHeight="1">
      <c r="A1" s="90" t="s">
        <v>0</v>
      </c>
      <c r="B1" s="91" t="s">
        <v>1</v>
      </c>
      <c r="C1" s="92" t="s">
        <v>2</v>
      </c>
      <c r="D1" s="92" t="s">
        <v>3</v>
      </c>
      <c r="E1" s="91" t="s">
        <v>150</v>
      </c>
      <c r="F1" s="91" t="s">
        <v>22</v>
      </c>
      <c r="G1" s="93" t="s">
        <v>5</v>
      </c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1"/>
      <c r="W1" s="6"/>
      <c r="X1" s="1"/>
      <c r="Y1" s="1"/>
      <c r="Z1" s="1"/>
      <c r="AA1" s="1"/>
      <c r="AB1" s="1"/>
      <c r="AC1" s="1"/>
      <c r="AD1" s="1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3.5" customHeight="1">
      <c r="A2" s="88">
        <f ca="1">IFERROR(__xludf.DUMMYFUNCTION("""COMPUTED_VALUE"""),1)</f>
        <v>1</v>
      </c>
      <c r="B2" s="4" t="str">
        <f ca="1">IFERROR(__xludf.DUMMYFUNCTION("""COMPUTED_VALUE"""),"محمد العويرضي")</f>
        <v>محمد العويرضي</v>
      </c>
      <c r="C2" s="27" t="str">
        <f ca="1">IFERROR(__xludf.DUMMYFUNCTION("""COMPUTED_VALUE"""),"Mhmhmd")</f>
        <v>Mhmhmd</v>
      </c>
      <c r="D2" s="8" t="str">
        <f ca="1">IFERROR(__xludf.DUMMYFUNCTION("""COMPUTED_VALUE"""),"داخلي")</f>
        <v>داخلي</v>
      </c>
      <c r="E2" s="9">
        <f ca="1">IFERROR(__xludf.DUMMYFUNCTION("""COMPUTED_VALUE"""),44543)</f>
        <v>44543</v>
      </c>
      <c r="F2" s="4" t="str">
        <f ca="1">IFERROR(__xludf.DUMMYFUNCTION("""COMPUTED_VALUE"""),"عمل حر")</f>
        <v>عمل حر</v>
      </c>
      <c r="G2" s="89" t="str">
        <f ca="1">IFERROR(__xludf.DUMMYFUNCTION("""COMPUTED_VALUE"""),"ذكر ")</f>
        <v xml:space="preserve">ذكر </v>
      </c>
      <c r="H2" s="4"/>
      <c r="I2" s="6"/>
      <c r="J2" s="6"/>
      <c r="K2" s="6"/>
      <c r="L2" s="17"/>
      <c r="M2" s="8"/>
      <c r="N2" s="8"/>
      <c r="O2" s="1"/>
      <c r="P2" s="13"/>
      <c r="Q2" s="1"/>
      <c r="R2" s="28"/>
      <c r="S2" s="17"/>
      <c r="T2" s="1"/>
      <c r="U2" s="1"/>
      <c r="V2" s="1"/>
      <c r="W2" s="1"/>
      <c r="X2" s="6"/>
      <c r="Y2" s="1"/>
      <c r="Z2" s="1"/>
      <c r="AA2" s="1"/>
      <c r="AB2" s="4"/>
      <c r="AC2" s="1"/>
      <c r="AD2" s="4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3.5" customHeight="1">
      <c r="A3" s="88">
        <f ca="1">IFERROR(__xludf.DUMMYFUNCTION("""COMPUTED_VALUE"""),2)</f>
        <v>2</v>
      </c>
      <c r="B3" s="4" t="str">
        <f ca="1">IFERROR(__xludf.DUMMYFUNCTION("""COMPUTED_VALUE"""),"عمره علي ناصر الكناني")</f>
        <v>عمره علي ناصر الكناني</v>
      </c>
      <c r="C3" s="27" t="str">
        <f ca="1">IFERROR(__xludf.DUMMYFUNCTION("""COMPUTED_VALUE"""),"A.alkenani")</f>
        <v>A.alkenani</v>
      </c>
      <c r="D3" s="8" t="str">
        <f ca="1">IFERROR(__xludf.DUMMYFUNCTION("""COMPUTED_VALUE"""),"داخلي")</f>
        <v>داخلي</v>
      </c>
      <c r="E3" s="9">
        <f ca="1">IFERROR(__xludf.DUMMYFUNCTION("""COMPUTED_VALUE"""),44534)</f>
        <v>44534</v>
      </c>
      <c r="F3" s="4" t="str">
        <f ca="1">IFERROR(__xludf.DUMMYFUNCTION("""COMPUTED_VALUE"""),"عقد")</f>
        <v>عقد</v>
      </c>
      <c r="G3" s="89" t="str">
        <f ca="1">IFERROR(__xludf.DUMMYFUNCTION("""COMPUTED_VALUE"""),"أنثى")</f>
        <v>أنثى</v>
      </c>
      <c r="H3" s="4"/>
      <c r="I3" s="6"/>
      <c r="J3" s="6"/>
      <c r="K3" s="6"/>
      <c r="L3" s="6"/>
      <c r="M3" s="8"/>
      <c r="N3" s="8"/>
      <c r="O3" s="1"/>
      <c r="P3" s="13"/>
      <c r="Q3" s="1"/>
      <c r="R3" s="28"/>
      <c r="S3" s="17"/>
      <c r="T3" s="1"/>
      <c r="U3" s="1"/>
      <c r="V3" s="1"/>
      <c r="W3" s="1"/>
      <c r="X3" s="6"/>
      <c r="Y3" s="1"/>
      <c r="Z3" s="1"/>
      <c r="AA3" s="1"/>
      <c r="AB3" s="4"/>
      <c r="AC3" s="1"/>
      <c r="AD3" s="4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ht="13.5" customHeight="1">
      <c r="A4" s="88">
        <f ca="1">IFERROR(__xludf.DUMMYFUNCTION("""COMPUTED_VALUE"""),3)</f>
        <v>3</v>
      </c>
      <c r="B4" s="18" t="str">
        <f ca="1">IFERROR(__xludf.DUMMYFUNCTION("""COMPUTED_VALUE"""),"نورة عبدالرؤوف الشنيبر")</f>
        <v>نورة عبدالرؤوف الشنيبر</v>
      </c>
      <c r="C4" s="27" t="str">
        <f ca="1">IFERROR(__xludf.DUMMYFUNCTION("""COMPUTED_VALUE"""),"N.alshnebr1")</f>
        <v>N.alshnebr1</v>
      </c>
      <c r="D4" s="8" t="str">
        <f ca="1">IFERROR(__xludf.DUMMYFUNCTION("""COMPUTED_VALUE"""),"داخلي")</f>
        <v>داخلي</v>
      </c>
      <c r="E4" s="9">
        <f ca="1">IFERROR(__xludf.DUMMYFUNCTION("""COMPUTED_VALUE"""),44555)</f>
        <v>44555</v>
      </c>
      <c r="F4" s="4" t="str">
        <f ca="1">IFERROR(__xludf.DUMMYFUNCTION("""COMPUTED_VALUE"""),"عقد")</f>
        <v>عقد</v>
      </c>
      <c r="G4" s="89" t="str">
        <f ca="1">IFERROR(__xludf.DUMMYFUNCTION("""COMPUTED_VALUE"""),"أنثى")</f>
        <v>أنثى</v>
      </c>
      <c r="H4" s="4"/>
      <c r="I4" s="6"/>
      <c r="J4" s="6"/>
      <c r="K4" s="6"/>
      <c r="L4" s="4"/>
      <c r="M4" s="8"/>
      <c r="N4" s="8"/>
      <c r="O4" s="1"/>
      <c r="P4" s="13"/>
      <c r="Q4" s="1"/>
      <c r="R4" s="28"/>
      <c r="S4" s="17"/>
      <c r="T4" s="1"/>
      <c r="U4" s="1"/>
      <c r="V4" s="1"/>
      <c r="W4" s="1"/>
      <c r="X4" s="6"/>
      <c r="Y4" s="1"/>
      <c r="Z4" s="1"/>
      <c r="AA4" s="1"/>
      <c r="AB4" s="4"/>
      <c r="AC4" s="1"/>
      <c r="AD4" s="1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ht="13.5" customHeight="1">
      <c r="A5" s="88">
        <f ca="1">IFERROR(__xludf.DUMMYFUNCTION("""COMPUTED_VALUE"""),4)</f>
        <v>4</v>
      </c>
      <c r="B5" s="17" t="str">
        <f ca="1">IFERROR(__xludf.DUMMYFUNCTION("""COMPUTED_VALUE"""),"منيرة عبدالرحمن ناصر البدر")</f>
        <v>منيرة عبدالرحمن ناصر البدر</v>
      </c>
      <c r="C5" s="3" t="str">
        <f ca="1">IFERROR(__xludf.DUMMYFUNCTION("""COMPUTED_VALUE"""),"M.albader1")</f>
        <v>M.albader1</v>
      </c>
      <c r="D5" s="8" t="str">
        <f ca="1">IFERROR(__xludf.DUMMYFUNCTION("""COMPUTED_VALUE"""),"داخلي")</f>
        <v>داخلي</v>
      </c>
      <c r="E5" s="9">
        <f ca="1">IFERROR(__xludf.DUMMYFUNCTION("""COMPUTED_VALUE"""),44566)</f>
        <v>44566</v>
      </c>
      <c r="F5" s="4" t="str">
        <f ca="1">IFERROR(__xludf.DUMMYFUNCTION("""COMPUTED_VALUE"""),"عقد")</f>
        <v>عقد</v>
      </c>
      <c r="G5" s="89" t="str">
        <f ca="1">IFERROR(__xludf.DUMMYFUNCTION("""COMPUTED_VALUE"""),"أنثى")</f>
        <v>أنثى</v>
      </c>
      <c r="H5" s="4"/>
      <c r="I5" s="6"/>
      <c r="J5" s="6"/>
      <c r="K5" s="6"/>
      <c r="L5" s="6"/>
      <c r="M5" s="8"/>
      <c r="N5" s="8"/>
      <c r="O5" s="1"/>
      <c r="P5" s="13"/>
      <c r="Q5" s="1"/>
      <c r="R5" s="28"/>
      <c r="S5" s="17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ht="13.5" customHeight="1">
      <c r="A6" s="88">
        <f ca="1">IFERROR(__xludf.DUMMYFUNCTION("""COMPUTED_VALUE"""),5)</f>
        <v>5</v>
      </c>
      <c r="B6" s="2" t="str">
        <f ca="1">IFERROR(__xludf.DUMMYFUNCTION("""COMPUTED_VALUE"""),"هيا مسلم بن عون")</f>
        <v>هيا مسلم بن عون</v>
      </c>
      <c r="C6" s="3" t="str">
        <f ca="1">IFERROR(__xludf.DUMMYFUNCTION("""COMPUTED_VALUE"""),"H.mslm1")</f>
        <v>H.mslm1</v>
      </c>
      <c r="D6" s="8" t="str">
        <f ca="1">IFERROR(__xludf.DUMMYFUNCTION("""COMPUTED_VALUE"""),"داخلي")</f>
        <v>داخلي</v>
      </c>
      <c r="E6" s="9">
        <f ca="1">IFERROR(__xludf.DUMMYFUNCTION("""COMPUTED_VALUE"""),44567)</f>
        <v>44567</v>
      </c>
      <c r="F6" s="4" t="str">
        <f ca="1">IFERROR(__xludf.DUMMYFUNCTION("""COMPUTED_VALUE"""),"عقد")</f>
        <v>عقد</v>
      </c>
      <c r="G6" s="89" t="str">
        <f ca="1">IFERROR(__xludf.DUMMYFUNCTION("""COMPUTED_VALUE"""),"أنثى")</f>
        <v>أنثى</v>
      </c>
      <c r="H6" s="4"/>
      <c r="I6" s="6"/>
      <c r="J6" s="6"/>
      <c r="K6" s="6"/>
      <c r="L6" s="4"/>
      <c r="M6" s="8"/>
      <c r="N6" s="8"/>
      <c r="O6" s="1"/>
      <c r="P6" s="13"/>
      <c r="Q6" s="1"/>
      <c r="R6" s="28"/>
      <c r="S6" s="17"/>
      <c r="T6" s="1"/>
      <c r="U6" s="1"/>
      <c r="V6" s="1"/>
      <c r="W6" s="6"/>
      <c r="X6" s="1"/>
      <c r="Y6" s="1"/>
      <c r="Z6" s="1"/>
      <c r="AA6" s="1"/>
      <c r="AB6" s="1"/>
      <c r="AC6" s="1"/>
      <c r="AD6" s="1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ht="13.5" customHeight="1">
      <c r="A7" s="94">
        <f ca="1">IFERROR(__xludf.DUMMYFUNCTION("""COMPUTED_VALUE"""),6)</f>
        <v>6</v>
      </c>
      <c r="B7" s="99" t="str">
        <f ca="1">IFERROR(__xludf.DUMMYFUNCTION("""COMPUTED_VALUE"""),"وضحاء نائف المطيري")</f>
        <v>وضحاء نائف المطيري</v>
      </c>
      <c r="C7" s="96" t="str">
        <f ca="1">IFERROR(__xludf.DUMMYFUNCTION("""COMPUTED_VALUE"""),"Wmutairi")</f>
        <v>Wmutairi</v>
      </c>
      <c r="D7" s="97" t="str">
        <f ca="1">IFERROR(__xludf.DUMMYFUNCTION("""COMPUTED_VALUE"""),"داخلي")</f>
        <v>داخلي</v>
      </c>
      <c r="E7" s="97">
        <f ca="1">IFERROR(__xludf.DUMMYFUNCTION("""COMPUTED_VALUE"""),44570)</f>
        <v>44570</v>
      </c>
      <c r="F7" s="95" t="str">
        <f ca="1">IFERROR(__xludf.DUMMYFUNCTION("""COMPUTED_VALUE"""),"عقد")</f>
        <v>عقد</v>
      </c>
      <c r="G7" s="98" t="str">
        <f ca="1">IFERROR(__xludf.DUMMYFUNCTION("""COMPUTED_VALUE"""),"أنثى")</f>
        <v>أنثى</v>
      </c>
      <c r="H7" s="4"/>
      <c r="I7" s="6"/>
      <c r="J7" s="6"/>
      <c r="K7" s="6"/>
      <c r="L7" s="6"/>
      <c r="M7" s="8"/>
      <c r="N7" s="8"/>
      <c r="O7" s="1"/>
      <c r="P7" s="13"/>
      <c r="Q7" s="1"/>
      <c r="R7" s="28"/>
      <c r="S7" s="17"/>
      <c r="T7" s="1"/>
      <c r="U7" s="1"/>
      <c r="V7" s="1"/>
      <c r="W7" s="1"/>
      <c r="X7" s="6"/>
      <c r="Y7" s="1"/>
      <c r="Z7" s="1"/>
      <c r="AA7" s="1"/>
      <c r="AB7" s="1"/>
      <c r="AC7" s="1"/>
      <c r="AD7" s="4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</row>
    <row r="8" spans="1:41" ht="13.5" customHeight="1">
      <c r="A8" s="1">
        <f ca="1">IFERROR(__xludf.DUMMYFUNCTION("""COMPUTED_VALUE"""),7)</f>
        <v>7</v>
      </c>
      <c r="B8" s="2"/>
      <c r="C8" s="3"/>
      <c r="D8" s="8"/>
      <c r="E8" s="4"/>
      <c r="F8" s="4"/>
      <c r="G8" s="4"/>
      <c r="H8" s="4"/>
      <c r="I8" s="6"/>
      <c r="J8" s="6"/>
      <c r="K8" s="6"/>
      <c r="L8" s="6"/>
      <c r="M8" s="8"/>
      <c r="N8" s="8"/>
      <c r="O8" s="1"/>
      <c r="P8" s="13"/>
      <c r="Q8" s="1"/>
      <c r="R8" s="28"/>
      <c r="S8" s="17"/>
      <c r="T8" s="1"/>
      <c r="U8" s="1"/>
      <c r="V8" s="1"/>
      <c r="W8" s="1"/>
      <c r="X8" s="6"/>
      <c r="Y8" s="1"/>
      <c r="Z8" s="1"/>
      <c r="AA8" s="1"/>
      <c r="AB8" s="1"/>
      <c r="AC8" s="1"/>
      <c r="AD8" s="4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</row>
    <row r="9" spans="1:41" ht="13.5" customHeight="1">
      <c r="A9" s="1">
        <f ca="1">IFERROR(__xludf.DUMMYFUNCTION("""COMPUTED_VALUE"""),8)</f>
        <v>8</v>
      </c>
      <c r="B9" s="18"/>
      <c r="C9" s="3"/>
      <c r="D9" s="8"/>
      <c r="E9" s="4"/>
      <c r="F9" s="4"/>
      <c r="G9" s="1"/>
      <c r="H9" s="4"/>
      <c r="I9" s="6"/>
      <c r="J9" s="6"/>
      <c r="K9" s="6"/>
      <c r="L9" s="6"/>
      <c r="M9" s="8"/>
      <c r="N9" s="8"/>
      <c r="O9" s="1"/>
      <c r="P9" s="13"/>
      <c r="Q9" s="1"/>
      <c r="R9" s="28"/>
      <c r="S9" s="17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ht="13.5" customHeight="1">
      <c r="A10" s="1">
        <f ca="1">IFERROR(__xludf.DUMMYFUNCTION("""COMPUTED_VALUE"""),9)</f>
        <v>9</v>
      </c>
      <c r="B10" s="18"/>
      <c r="C10" s="3"/>
      <c r="D10" s="8"/>
      <c r="E10" s="4"/>
      <c r="F10" s="4"/>
      <c r="G10" s="4"/>
      <c r="H10" s="4"/>
      <c r="I10" s="6"/>
      <c r="J10" s="6"/>
      <c r="K10" s="6"/>
      <c r="L10" s="6"/>
      <c r="M10" s="6"/>
      <c r="N10" s="8"/>
      <c r="O10" s="1"/>
      <c r="P10" s="13"/>
      <c r="Q10" s="1"/>
      <c r="R10" s="28"/>
      <c r="S10" s="17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13.5" customHeight="1">
      <c r="A11" s="1">
        <f ca="1">IFERROR(__xludf.DUMMYFUNCTION("""COMPUTED_VALUE"""),10)</f>
        <v>10</v>
      </c>
      <c r="B11" s="2"/>
      <c r="C11" s="3"/>
      <c r="D11" s="8"/>
      <c r="E11" s="4"/>
      <c r="F11" s="4"/>
      <c r="G11" s="4"/>
      <c r="H11" s="4"/>
      <c r="I11" s="6"/>
      <c r="J11" s="6"/>
      <c r="K11" s="6"/>
      <c r="L11" s="6"/>
      <c r="M11" s="6"/>
      <c r="N11" s="8"/>
      <c r="O11" s="1"/>
      <c r="P11" s="13"/>
      <c r="Q11" s="1"/>
      <c r="R11" s="28"/>
      <c r="S11" s="17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13.5" customHeight="1">
      <c r="A12" s="1">
        <f ca="1">IFERROR(__xludf.DUMMYFUNCTION("""COMPUTED_VALUE"""),11)</f>
        <v>11</v>
      </c>
      <c r="B12" s="19"/>
      <c r="C12" s="3"/>
      <c r="D12" s="8"/>
      <c r="E12" s="4"/>
      <c r="F12" s="4"/>
      <c r="G12" s="4"/>
      <c r="H12" s="4"/>
      <c r="I12" s="6"/>
      <c r="J12" s="6"/>
      <c r="K12" s="6"/>
      <c r="L12" s="6"/>
      <c r="M12" s="6"/>
      <c r="N12" s="8"/>
      <c r="O12" s="1"/>
      <c r="P12" s="13"/>
      <c r="Q12" s="1"/>
      <c r="R12" s="28"/>
      <c r="S12" s="17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ht="13.5" customHeight="1">
      <c r="A13" s="1">
        <f ca="1">IFERROR(__xludf.DUMMYFUNCTION("""COMPUTED_VALUE"""),12)</f>
        <v>12</v>
      </c>
      <c r="B13" s="18"/>
      <c r="C13" s="3"/>
      <c r="D13" s="8"/>
      <c r="E13" s="4"/>
      <c r="F13" s="4"/>
      <c r="G13" s="4"/>
      <c r="H13" s="4"/>
      <c r="I13" s="6"/>
      <c r="J13" s="6"/>
      <c r="K13" s="6"/>
      <c r="L13" s="6"/>
      <c r="M13" s="6"/>
      <c r="N13" s="8"/>
      <c r="O13" s="1"/>
      <c r="P13" s="13"/>
      <c r="Q13" s="1"/>
      <c r="R13" s="28"/>
      <c r="S13" s="17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ht="13.5" customHeight="1">
      <c r="A14" s="1">
        <f ca="1">IFERROR(__xludf.DUMMYFUNCTION("""COMPUTED_VALUE"""),13)</f>
        <v>13</v>
      </c>
      <c r="B14" s="2"/>
      <c r="C14" s="3"/>
      <c r="D14" s="8"/>
      <c r="E14" s="4"/>
      <c r="F14" s="4"/>
      <c r="G14" s="4"/>
      <c r="H14" s="4"/>
      <c r="I14" s="6"/>
      <c r="J14" s="6"/>
      <c r="K14" s="6"/>
      <c r="L14" s="6"/>
      <c r="M14" s="6"/>
      <c r="N14" s="8"/>
      <c r="O14" s="1"/>
      <c r="P14" s="13"/>
      <c r="Q14" s="1"/>
      <c r="R14" s="28"/>
      <c r="S14" s="17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ht="13.5" customHeight="1">
      <c r="A15" s="1">
        <f ca="1">IFERROR(__xludf.DUMMYFUNCTION("""COMPUTED_VALUE"""),14)</f>
        <v>14</v>
      </c>
      <c r="B15" s="2"/>
      <c r="C15" s="3"/>
      <c r="D15" s="8"/>
      <c r="E15" s="4"/>
      <c r="F15" s="4"/>
      <c r="G15" s="4"/>
      <c r="H15" s="4"/>
      <c r="I15" s="6"/>
      <c r="J15" s="6"/>
      <c r="K15" s="6"/>
      <c r="L15" s="4"/>
      <c r="M15" s="6"/>
      <c r="N15" s="8"/>
      <c r="O15" s="1"/>
      <c r="P15" s="13"/>
      <c r="Q15" s="1"/>
      <c r="R15" s="28"/>
      <c r="S15" s="17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13.5" customHeight="1">
      <c r="A16" s="1">
        <f ca="1">IFERROR(__xludf.DUMMYFUNCTION("""COMPUTED_VALUE"""),15)</f>
        <v>15</v>
      </c>
      <c r="B16" s="2"/>
      <c r="C16" s="3"/>
      <c r="D16" s="8"/>
      <c r="E16" s="2"/>
      <c r="F16" s="4"/>
      <c r="G16" s="4"/>
      <c r="H16" s="4"/>
      <c r="I16" s="6"/>
      <c r="J16" s="6"/>
      <c r="K16" s="6"/>
      <c r="L16" s="6"/>
      <c r="M16" s="6"/>
      <c r="N16" s="8"/>
      <c r="O16" s="1"/>
      <c r="P16" s="13"/>
      <c r="Q16" s="1"/>
      <c r="R16" s="28"/>
      <c r="S16" s="17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ht="13.5" customHeight="1">
      <c r="A17" s="1">
        <f ca="1">IFERROR(__xludf.DUMMYFUNCTION("""COMPUTED_VALUE"""),16)</f>
        <v>16</v>
      </c>
      <c r="B17" s="2"/>
      <c r="C17" s="3"/>
      <c r="D17" s="8"/>
      <c r="E17" s="2"/>
      <c r="F17" s="4"/>
      <c r="G17" s="1"/>
      <c r="H17" s="4"/>
      <c r="I17" s="6"/>
      <c r="J17" s="6"/>
      <c r="K17" s="6"/>
      <c r="L17" s="6"/>
      <c r="M17" s="6"/>
      <c r="N17" s="8"/>
      <c r="O17" s="1"/>
      <c r="P17" s="13"/>
      <c r="Q17" s="1"/>
      <c r="R17" s="28"/>
      <c r="S17" s="17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ht="13.5" customHeight="1">
      <c r="A18" s="1">
        <f ca="1">IFERROR(__xludf.DUMMYFUNCTION("""COMPUTED_VALUE"""),17)</f>
        <v>17</v>
      </c>
      <c r="B18" s="20"/>
      <c r="C18" s="3"/>
      <c r="D18" s="8"/>
      <c r="E18" s="4"/>
      <c r="F18" s="4"/>
      <c r="G18" s="4"/>
      <c r="H18" s="4"/>
      <c r="I18" s="6"/>
      <c r="J18" s="6"/>
      <c r="K18" s="6"/>
      <c r="L18" s="6"/>
      <c r="M18" s="6"/>
      <c r="N18" s="8"/>
      <c r="O18" s="1"/>
      <c r="P18" s="13"/>
      <c r="Q18" s="1"/>
      <c r="R18" s="28"/>
      <c r="S18" s="17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ht="13.5" customHeight="1">
      <c r="A19" s="1">
        <f ca="1">IFERROR(__xludf.DUMMYFUNCTION("""COMPUTED_VALUE"""),18)</f>
        <v>18</v>
      </c>
      <c r="B19" s="4"/>
      <c r="C19" s="3"/>
      <c r="D19" s="8"/>
      <c r="E19" s="4"/>
      <c r="F19" s="4"/>
      <c r="G19" s="4"/>
      <c r="H19" s="4"/>
      <c r="I19" s="6"/>
      <c r="J19" s="6"/>
      <c r="K19" s="6"/>
      <c r="L19" s="6"/>
      <c r="M19" s="6"/>
      <c r="N19" s="8"/>
      <c r="O19" s="1"/>
      <c r="P19" s="13"/>
      <c r="Q19" s="1"/>
      <c r="R19" s="28"/>
      <c r="S19" s="17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ht="13.5" customHeight="1">
      <c r="A20" s="1">
        <f ca="1">IFERROR(__xludf.DUMMYFUNCTION("""COMPUTED_VALUE"""),19)</f>
        <v>19</v>
      </c>
      <c r="B20" s="2"/>
      <c r="C20" s="3"/>
      <c r="D20" s="8"/>
      <c r="E20" s="4"/>
      <c r="F20" s="4"/>
      <c r="G20" s="4"/>
      <c r="H20" s="4"/>
      <c r="I20" s="6"/>
      <c r="J20" s="6"/>
      <c r="K20" s="6"/>
      <c r="L20" s="6"/>
      <c r="M20" s="6"/>
      <c r="N20" s="8"/>
      <c r="O20" s="1"/>
      <c r="P20" s="13"/>
      <c r="Q20" s="1"/>
      <c r="R20" s="28"/>
      <c r="S20" s="17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ht="13.5" customHeight="1">
      <c r="A21" s="1">
        <f ca="1">IFERROR(__xludf.DUMMYFUNCTION("""COMPUTED_VALUE"""),20)</f>
        <v>20</v>
      </c>
      <c r="B21" s="2"/>
      <c r="C21" s="3"/>
      <c r="D21" s="8"/>
      <c r="E21" s="4"/>
      <c r="F21" s="4"/>
      <c r="G21" s="4"/>
      <c r="H21" s="4"/>
      <c r="I21" s="6"/>
      <c r="J21" s="6"/>
      <c r="K21" s="6"/>
      <c r="L21" s="6"/>
      <c r="M21" s="6"/>
      <c r="N21" s="8"/>
      <c r="O21" s="1"/>
      <c r="P21" s="13"/>
      <c r="Q21" s="1"/>
      <c r="R21" s="28"/>
      <c r="S21" s="17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ht="13.5" customHeight="1">
      <c r="A22" s="1">
        <f ca="1">IFERROR(__xludf.DUMMYFUNCTION("""COMPUTED_VALUE"""),21)</f>
        <v>21</v>
      </c>
      <c r="B22" s="2"/>
      <c r="C22" s="3"/>
      <c r="D22" s="8"/>
      <c r="E22" s="4"/>
      <c r="F22" s="4"/>
      <c r="G22" s="4"/>
      <c r="H22" s="4"/>
      <c r="I22" s="6"/>
      <c r="J22" s="6"/>
      <c r="K22" s="6"/>
      <c r="L22" s="6"/>
      <c r="M22" s="6"/>
      <c r="N22" s="8"/>
      <c r="O22" s="1"/>
      <c r="P22" s="13"/>
      <c r="Q22" s="1"/>
      <c r="R22" s="28"/>
      <c r="S22" s="17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ht="13.5" customHeight="1">
      <c r="A23" s="1">
        <f ca="1">IFERROR(__xludf.DUMMYFUNCTION("""COMPUTED_VALUE"""),22)</f>
        <v>22</v>
      </c>
      <c r="B23" s="2"/>
      <c r="C23" s="3"/>
      <c r="D23" s="8"/>
      <c r="E23" s="4"/>
      <c r="F23" s="4"/>
      <c r="G23" s="4"/>
      <c r="H23" s="4"/>
      <c r="I23" s="6"/>
      <c r="J23" s="6"/>
      <c r="K23" s="6"/>
      <c r="L23" s="6"/>
      <c r="M23" s="6"/>
      <c r="N23" s="8"/>
      <c r="O23" s="1"/>
      <c r="P23" s="13"/>
      <c r="Q23" s="1"/>
      <c r="R23" s="28"/>
      <c r="S23" s="17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ht="13.5" customHeight="1">
      <c r="A24" s="1">
        <f ca="1">IFERROR(__xludf.DUMMYFUNCTION("""COMPUTED_VALUE"""),23)</f>
        <v>23</v>
      </c>
      <c r="B24" s="2"/>
      <c r="C24" s="3"/>
      <c r="D24" s="8"/>
      <c r="E24" s="4"/>
      <c r="F24" s="4"/>
      <c r="G24" s="4"/>
      <c r="H24" s="4"/>
      <c r="I24" s="6"/>
      <c r="J24" s="6"/>
      <c r="K24" s="6"/>
      <c r="L24" s="4"/>
      <c r="M24" s="1"/>
      <c r="N24" s="8"/>
      <c r="O24" s="1"/>
      <c r="P24" s="13"/>
      <c r="Q24" s="1"/>
      <c r="R24" s="28"/>
      <c r="S24" s="17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ht="13.5" customHeight="1">
      <c r="A25" s="1">
        <f ca="1">IFERROR(__xludf.DUMMYFUNCTION("""COMPUTED_VALUE"""),24)</f>
        <v>24</v>
      </c>
      <c r="B25" s="2"/>
      <c r="C25" s="3"/>
      <c r="D25" s="8"/>
      <c r="E25" s="4"/>
      <c r="F25" s="4"/>
      <c r="G25" s="4"/>
      <c r="H25" s="4"/>
      <c r="I25" s="6"/>
      <c r="J25" s="6"/>
      <c r="K25" s="6"/>
      <c r="L25" s="6"/>
      <c r="M25" s="6"/>
      <c r="N25" s="8"/>
      <c r="O25" s="1"/>
      <c r="P25" s="13"/>
      <c r="Q25" s="1"/>
      <c r="R25" s="28"/>
      <c r="S25" s="17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ht="13.5" customHeight="1">
      <c r="A26" s="1">
        <f ca="1">IFERROR(__xludf.DUMMYFUNCTION("""COMPUTED_VALUE"""),25)</f>
        <v>25</v>
      </c>
      <c r="B26" s="2"/>
      <c r="C26" s="3"/>
      <c r="D26" s="8"/>
      <c r="E26" s="4"/>
      <c r="F26" s="4"/>
      <c r="G26" s="4"/>
      <c r="H26" s="4"/>
      <c r="I26" s="6"/>
      <c r="J26" s="6"/>
      <c r="K26" s="6"/>
      <c r="L26" s="6"/>
      <c r="M26" s="6"/>
      <c r="N26" s="8"/>
      <c r="O26" s="1"/>
      <c r="P26" s="13"/>
      <c r="Q26" s="1"/>
      <c r="R26" s="28"/>
      <c r="S26" s="17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ht="13.5" customHeight="1">
      <c r="A27" s="1">
        <f ca="1">IFERROR(__xludf.DUMMYFUNCTION("""COMPUTED_VALUE"""),26)</f>
        <v>26</v>
      </c>
      <c r="B27" s="2"/>
      <c r="C27" s="3"/>
      <c r="D27" s="8"/>
      <c r="E27" s="4"/>
      <c r="F27" s="4"/>
      <c r="G27" s="4"/>
      <c r="H27" s="4"/>
      <c r="I27" s="6"/>
      <c r="J27" s="6"/>
      <c r="K27" s="6"/>
      <c r="L27" s="6"/>
      <c r="M27" s="6"/>
      <c r="N27" s="8"/>
      <c r="O27" s="1"/>
      <c r="P27" s="13"/>
      <c r="Q27" s="1"/>
      <c r="R27" s="28"/>
      <c r="S27" s="17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ht="13.5" customHeight="1">
      <c r="A28" s="1">
        <f ca="1">IFERROR(__xludf.DUMMYFUNCTION("""COMPUTED_VALUE"""),27)</f>
        <v>27</v>
      </c>
      <c r="B28" s="20"/>
      <c r="C28" s="3"/>
      <c r="D28" s="8"/>
      <c r="E28" s="2"/>
      <c r="F28" s="4"/>
      <c r="G28" s="4"/>
      <c r="H28" s="4"/>
      <c r="I28" s="6"/>
      <c r="J28" s="6"/>
      <c r="K28" s="6"/>
      <c r="L28" s="6"/>
      <c r="M28" s="6"/>
      <c r="N28" s="8"/>
      <c r="O28" s="1"/>
      <c r="P28" s="13"/>
      <c r="Q28" s="1"/>
      <c r="R28" s="28"/>
      <c r="S28" s="17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ht="13.5" customHeight="1">
      <c r="A29" s="1">
        <f ca="1">IFERROR(__xludf.DUMMYFUNCTION("""COMPUTED_VALUE"""),28)</f>
        <v>28</v>
      </c>
      <c r="B29" s="17"/>
      <c r="C29" s="3"/>
      <c r="D29" s="8"/>
      <c r="E29" s="2"/>
      <c r="F29" s="4"/>
      <c r="G29" s="4"/>
      <c r="H29" s="4"/>
      <c r="I29" s="6"/>
      <c r="J29" s="6"/>
      <c r="K29" s="6"/>
      <c r="L29" s="6"/>
      <c r="M29" s="6"/>
      <c r="N29" s="8"/>
      <c r="O29" s="1"/>
      <c r="P29" s="13"/>
      <c r="Q29" s="1"/>
      <c r="R29" s="28"/>
      <c r="S29" s="17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ht="13.5" customHeight="1">
      <c r="A30" s="1">
        <f ca="1">IFERROR(__xludf.DUMMYFUNCTION("""COMPUTED_VALUE"""),29)</f>
        <v>29</v>
      </c>
      <c r="B30" s="17"/>
      <c r="C30" s="3"/>
      <c r="D30" s="8"/>
      <c r="E30" s="2"/>
      <c r="F30" s="4"/>
      <c r="G30" s="4"/>
      <c r="H30" s="4"/>
      <c r="I30" s="6"/>
      <c r="J30" s="6"/>
      <c r="K30" s="6"/>
      <c r="L30" s="6"/>
      <c r="M30" s="6"/>
      <c r="N30" s="8"/>
      <c r="O30" s="1"/>
      <c r="P30" s="13"/>
      <c r="Q30" s="1"/>
      <c r="R30" s="28"/>
      <c r="S30" s="17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ht="13.5" customHeight="1">
      <c r="A31" s="1">
        <f ca="1">IFERROR(__xludf.DUMMYFUNCTION("""COMPUTED_VALUE"""),30)</f>
        <v>30</v>
      </c>
      <c r="B31" s="2"/>
      <c r="C31" s="3"/>
      <c r="D31" s="8"/>
      <c r="E31" s="4"/>
      <c r="F31" s="4"/>
      <c r="G31" s="4"/>
      <c r="H31" s="4"/>
      <c r="I31" s="6"/>
      <c r="J31" s="6"/>
      <c r="K31" s="6"/>
      <c r="L31" s="1"/>
      <c r="M31" s="1"/>
      <c r="N31" s="8"/>
      <c r="O31" s="1"/>
      <c r="P31" s="13"/>
      <c r="Q31" s="1"/>
      <c r="R31" s="28"/>
      <c r="S31" s="17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ht="13.5" customHeight="1">
      <c r="A32" s="1">
        <f ca="1">IFERROR(__xludf.DUMMYFUNCTION("""COMPUTED_VALUE"""),31)</f>
        <v>31</v>
      </c>
      <c r="B32" s="19"/>
      <c r="C32" s="3"/>
      <c r="D32" s="8"/>
      <c r="E32" s="2"/>
      <c r="F32" s="4"/>
      <c r="G32" s="4"/>
      <c r="H32" s="4"/>
      <c r="I32" s="6"/>
      <c r="J32" s="6"/>
      <c r="K32" s="6"/>
      <c r="L32" s="1"/>
      <c r="M32" s="1"/>
      <c r="N32" s="8"/>
      <c r="O32" s="1"/>
      <c r="P32" s="13"/>
      <c r="Q32" s="1"/>
      <c r="R32" s="28"/>
      <c r="S32" s="17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ht="13.5" customHeight="1">
      <c r="A33" s="1">
        <f ca="1">IFERROR(__xludf.DUMMYFUNCTION("""COMPUTED_VALUE"""),32)</f>
        <v>32</v>
      </c>
      <c r="B33" s="2"/>
      <c r="C33" s="3"/>
      <c r="D33" s="8"/>
      <c r="E33" s="4"/>
      <c r="F33" s="4"/>
      <c r="G33" s="4"/>
      <c r="H33" s="4"/>
      <c r="I33" s="6"/>
      <c r="J33" s="6"/>
      <c r="K33" s="6"/>
      <c r="L33" s="1"/>
      <c r="M33" s="1"/>
      <c r="N33" s="8"/>
      <c r="O33" s="1"/>
      <c r="P33" s="13"/>
      <c r="Q33" s="1"/>
      <c r="R33" s="28"/>
      <c r="S33" s="17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ht="13.5" customHeight="1">
      <c r="A34" s="1">
        <f ca="1">IFERROR(__xludf.DUMMYFUNCTION("""COMPUTED_VALUE"""),33)</f>
        <v>33</v>
      </c>
      <c r="B34" s="2"/>
      <c r="C34" s="3"/>
      <c r="D34" s="8"/>
      <c r="E34" s="4"/>
      <c r="F34" s="4"/>
      <c r="G34" s="1"/>
      <c r="H34" s="4"/>
      <c r="I34" s="6"/>
      <c r="J34" s="6"/>
      <c r="K34" s="6"/>
      <c r="L34" s="1"/>
      <c r="M34" s="1"/>
      <c r="N34" s="8"/>
      <c r="O34" s="1"/>
      <c r="P34" s="13"/>
      <c r="Q34" s="1"/>
      <c r="R34" s="28"/>
      <c r="S34" s="17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ht="13.5" customHeight="1">
      <c r="A35" s="1">
        <f ca="1">IFERROR(__xludf.DUMMYFUNCTION("""COMPUTED_VALUE"""),34)</f>
        <v>34</v>
      </c>
      <c r="B35" s="2"/>
      <c r="C35" s="3"/>
      <c r="D35" s="8"/>
      <c r="E35" s="4"/>
      <c r="F35" s="4"/>
      <c r="G35" s="4"/>
      <c r="H35" s="4"/>
      <c r="I35" s="6"/>
      <c r="J35" s="6"/>
      <c r="K35" s="6"/>
      <c r="L35" s="1"/>
      <c r="M35" s="1"/>
      <c r="N35" s="8"/>
      <c r="O35" s="1"/>
      <c r="P35" s="13"/>
      <c r="Q35" s="1"/>
      <c r="R35" s="28"/>
      <c r="S35" s="17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ht="13.5" customHeight="1">
      <c r="A36" s="1">
        <f ca="1">IFERROR(__xludf.DUMMYFUNCTION("""COMPUTED_VALUE"""),35)</f>
        <v>35</v>
      </c>
      <c r="B36" s="2"/>
      <c r="C36" s="3"/>
      <c r="D36" s="8"/>
      <c r="E36" s="4"/>
      <c r="F36" s="4"/>
      <c r="G36" s="4"/>
      <c r="H36" s="4"/>
      <c r="I36" s="6"/>
      <c r="J36" s="6"/>
      <c r="K36" s="6"/>
      <c r="L36" s="1"/>
      <c r="M36" s="1"/>
      <c r="N36" s="8"/>
      <c r="O36" s="1"/>
      <c r="P36" s="13"/>
      <c r="Q36" s="1"/>
      <c r="R36" s="28"/>
      <c r="S36" s="17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ht="13.5" customHeight="1">
      <c r="A37" s="1">
        <f ca="1">IFERROR(__xludf.DUMMYFUNCTION("""COMPUTED_VALUE"""),36)</f>
        <v>36</v>
      </c>
      <c r="B37" s="2"/>
      <c r="C37" s="3"/>
      <c r="D37" s="8"/>
      <c r="E37" s="4"/>
      <c r="F37" s="4"/>
      <c r="G37" s="4"/>
      <c r="H37" s="4"/>
      <c r="I37" s="6"/>
      <c r="J37" s="6"/>
      <c r="K37" s="6"/>
      <c r="L37" s="4"/>
      <c r="M37" s="1"/>
      <c r="N37" s="8"/>
      <c r="O37" s="1"/>
      <c r="P37" s="13"/>
      <c r="Q37" s="1"/>
      <c r="R37" s="28"/>
      <c r="S37" s="17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ht="13.5" customHeight="1">
      <c r="A38" s="1">
        <f ca="1">IFERROR(__xludf.DUMMYFUNCTION("""COMPUTED_VALUE"""),37)</f>
        <v>37</v>
      </c>
      <c r="B38" s="2"/>
      <c r="C38" s="3"/>
      <c r="D38" s="8"/>
      <c r="E38" s="4"/>
      <c r="F38" s="4"/>
      <c r="G38" s="4"/>
      <c r="H38" s="4"/>
      <c r="I38" s="6"/>
      <c r="J38" s="6"/>
      <c r="K38" s="6"/>
      <c r="L38" s="1"/>
      <c r="M38" s="1"/>
      <c r="N38" s="8"/>
      <c r="O38" s="1"/>
      <c r="P38" s="13"/>
      <c r="Q38" s="1"/>
      <c r="R38" s="28"/>
      <c r="S38" s="17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ht="13.5" customHeight="1">
      <c r="A39" s="1">
        <f ca="1">IFERROR(__xludf.DUMMYFUNCTION("""COMPUTED_VALUE"""),38)</f>
        <v>38</v>
      </c>
      <c r="B39" s="2"/>
      <c r="C39" s="3"/>
      <c r="D39" s="8"/>
      <c r="E39" s="4"/>
      <c r="F39" s="4"/>
      <c r="G39" s="4"/>
      <c r="H39" s="4"/>
      <c r="I39" s="6"/>
      <c r="J39" s="6"/>
      <c r="K39" s="6"/>
      <c r="L39" s="1"/>
      <c r="M39" s="1"/>
      <c r="N39" s="8"/>
      <c r="O39" s="1"/>
      <c r="P39" s="13"/>
      <c r="Q39" s="1"/>
      <c r="R39" s="28"/>
      <c r="S39" s="17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ht="13.5" customHeight="1">
      <c r="A40" s="1">
        <f ca="1">IFERROR(__xludf.DUMMYFUNCTION("""COMPUTED_VALUE"""),39)</f>
        <v>39</v>
      </c>
      <c r="B40" s="18"/>
      <c r="C40" s="3"/>
      <c r="D40" s="8"/>
      <c r="E40" s="4"/>
      <c r="F40" s="4"/>
      <c r="G40" s="1"/>
      <c r="H40" s="4"/>
      <c r="I40" s="6"/>
      <c r="J40" s="6"/>
      <c r="K40" s="6"/>
      <c r="L40" s="1"/>
      <c r="M40" s="1"/>
      <c r="N40" s="8"/>
      <c r="O40" s="1"/>
      <c r="P40" s="13"/>
      <c r="Q40" s="1"/>
      <c r="R40" s="28"/>
      <c r="S40" s="17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ht="13.5" customHeight="1">
      <c r="A41" s="1">
        <f ca="1">IFERROR(__xludf.DUMMYFUNCTION("""COMPUTED_VALUE"""),40)</f>
        <v>40</v>
      </c>
      <c r="B41" s="2"/>
      <c r="C41" s="3"/>
      <c r="D41" s="8"/>
      <c r="E41" s="4"/>
      <c r="F41" s="4"/>
      <c r="G41" s="4"/>
      <c r="H41" s="4"/>
      <c r="I41" s="6"/>
      <c r="J41" s="6"/>
      <c r="K41" s="6"/>
      <c r="L41" s="4"/>
      <c r="M41" s="17"/>
      <c r="N41" s="8"/>
      <c r="O41" s="1"/>
      <c r="P41" s="13"/>
      <c r="Q41" s="1"/>
      <c r="R41" s="28"/>
      <c r="S41" s="17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ht="13.5" customHeight="1">
      <c r="A42" s="1">
        <f ca="1">IFERROR(__xludf.DUMMYFUNCTION("""COMPUTED_VALUE"""),41)</f>
        <v>41</v>
      </c>
      <c r="B42" s="17"/>
      <c r="C42" s="3"/>
      <c r="D42" s="8"/>
      <c r="E42" s="4"/>
      <c r="F42" s="4"/>
      <c r="G42" s="4"/>
      <c r="H42" s="4"/>
      <c r="I42" s="6"/>
      <c r="J42" s="6"/>
      <c r="K42" s="6"/>
      <c r="L42" s="1"/>
      <c r="M42" s="1"/>
      <c r="N42" s="8"/>
      <c r="O42" s="1"/>
      <c r="P42" s="13"/>
      <c r="Q42" s="1"/>
      <c r="R42" s="28"/>
      <c r="S42" s="17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ht="13.5" customHeight="1">
      <c r="A43" s="1">
        <f ca="1">IFERROR(__xludf.DUMMYFUNCTION("""COMPUTED_VALUE"""),42)</f>
        <v>42</v>
      </c>
      <c r="B43" s="17"/>
      <c r="C43" s="3"/>
      <c r="D43" s="8"/>
      <c r="E43" s="2"/>
      <c r="F43" s="4"/>
      <c r="G43" s="4"/>
      <c r="H43" s="4"/>
      <c r="I43" s="6"/>
      <c r="J43" s="6"/>
      <c r="K43" s="6"/>
      <c r="L43" s="4"/>
      <c r="M43" s="1"/>
      <c r="N43" s="8"/>
      <c r="O43" s="1"/>
      <c r="P43" s="13"/>
      <c r="Q43" s="1"/>
      <c r="R43" s="28"/>
      <c r="S43" s="17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ht="13.5" customHeight="1">
      <c r="A44" s="1">
        <f ca="1">IFERROR(__xludf.DUMMYFUNCTION("""COMPUTED_VALUE"""),43)</f>
        <v>43</v>
      </c>
      <c r="B44" s="2"/>
      <c r="C44" s="3"/>
      <c r="D44" s="8"/>
      <c r="E44" s="4"/>
      <c r="F44" s="4"/>
      <c r="G44" s="4"/>
      <c r="H44" s="4"/>
      <c r="I44" s="6"/>
      <c r="J44" s="6"/>
      <c r="K44" s="6"/>
      <c r="L44" s="4"/>
      <c r="M44" s="1"/>
      <c r="N44" s="8"/>
      <c r="O44" s="1"/>
      <c r="P44" s="13"/>
      <c r="Q44" s="1"/>
      <c r="R44" s="28"/>
      <c r="S44" s="17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ht="13.5" customHeight="1">
      <c r="A45" s="1">
        <f ca="1">IFERROR(__xludf.DUMMYFUNCTION("""COMPUTED_VALUE"""),44)</f>
        <v>44</v>
      </c>
      <c r="B45" s="2"/>
      <c r="C45" s="3"/>
      <c r="D45" s="8"/>
      <c r="E45" s="4"/>
      <c r="F45" s="4"/>
      <c r="G45" s="4"/>
      <c r="H45" s="4"/>
      <c r="I45" s="6"/>
      <c r="J45" s="6"/>
      <c r="K45" s="6"/>
      <c r="L45" s="6"/>
      <c r="M45" s="6"/>
      <c r="N45" s="8"/>
      <c r="O45" s="1"/>
      <c r="P45" s="13"/>
      <c r="Q45" s="1"/>
      <c r="R45" s="28"/>
      <c r="S45" s="17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ht="13.5" customHeight="1">
      <c r="A46" s="1">
        <f ca="1">IFERROR(__xludf.DUMMYFUNCTION("""COMPUTED_VALUE"""),45)</f>
        <v>45</v>
      </c>
      <c r="B46" s="17"/>
      <c r="C46" s="3"/>
      <c r="D46" s="8"/>
      <c r="E46" s="4"/>
      <c r="F46" s="4"/>
      <c r="G46" s="1"/>
      <c r="H46" s="4"/>
      <c r="I46" s="6"/>
      <c r="J46" s="6"/>
      <c r="K46" s="6"/>
      <c r="L46" s="1"/>
      <c r="M46" s="1"/>
      <c r="N46" s="8"/>
      <c r="O46" s="1"/>
      <c r="P46" s="13"/>
      <c r="Q46" s="1"/>
      <c r="R46" s="28"/>
      <c r="S46" s="17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ht="13.5" customHeight="1">
      <c r="A47" s="1">
        <f ca="1">IFERROR(__xludf.DUMMYFUNCTION("""COMPUTED_VALUE"""),46)</f>
        <v>46</v>
      </c>
      <c r="B47" s="2"/>
      <c r="C47" s="3"/>
      <c r="D47" s="8"/>
      <c r="E47" s="4"/>
      <c r="F47" s="4"/>
      <c r="G47" s="4"/>
      <c r="H47" s="4"/>
      <c r="I47" s="6"/>
      <c r="J47" s="6"/>
      <c r="K47" s="6"/>
      <c r="L47" s="1"/>
      <c r="M47" s="1"/>
      <c r="N47" s="8"/>
      <c r="O47" s="1"/>
      <c r="P47" s="13"/>
      <c r="Q47" s="1"/>
      <c r="R47" s="28"/>
      <c r="S47" s="17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ht="13.5" customHeight="1">
      <c r="A48" s="1">
        <f ca="1">IFERROR(__xludf.DUMMYFUNCTION("""COMPUTED_VALUE"""),47)</f>
        <v>47</v>
      </c>
      <c r="B48" s="2"/>
      <c r="C48" s="3"/>
      <c r="D48" s="8"/>
      <c r="E48" s="4"/>
      <c r="F48" s="4"/>
      <c r="G48" s="1"/>
      <c r="H48" s="4"/>
      <c r="I48" s="6"/>
      <c r="J48" s="6"/>
      <c r="K48" s="6"/>
      <c r="L48" s="1"/>
      <c r="M48" s="1"/>
      <c r="N48" s="8"/>
      <c r="O48" s="1"/>
      <c r="P48" s="13"/>
      <c r="Q48" s="1"/>
      <c r="R48" s="28"/>
      <c r="S48" s="17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ht="13.5" customHeight="1">
      <c r="A49" s="1">
        <f ca="1">IFERROR(__xludf.DUMMYFUNCTION("""COMPUTED_VALUE"""),48)</f>
        <v>48</v>
      </c>
      <c r="B49" s="2"/>
      <c r="C49" s="3"/>
      <c r="D49" s="8"/>
      <c r="E49" s="4"/>
      <c r="F49" s="4"/>
      <c r="G49" s="1"/>
      <c r="H49" s="4"/>
      <c r="I49" s="6"/>
      <c r="J49" s="6"/>
      <c r="K49" s="6"/>
      <c r="L49" s="1"/>
      <c r="M49" s="1"/>
      <c r="N49" s="8"/>
      <c r="O49" s="1"/>
      <c r="P49" s="13"/>
      <c r="Q49" s="1"/>
      <c r="R49" s="28"/>
      <c r="S49" s="17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ht="13.5" customHeight="1">
      <c r="A50" s="1">
        <f ca="1">IFERROR(__xludf.DUMMYFUNCTION("""COMPUTED_VALUE"""),49)</f>
        <v>49</v>
      </c>
      <c r="B50" s="2"/>
      <c r="C50" s="3"/>
      <c r="D50" s="8"/>
      <c r="E50" s="4"/>
      <c r="F50" s="4"/>
      <c r="G50" s="1"/>
      <c r="H50" s="4"/>
      <c r="I50" s="6"/>
      <c r="J50" s="6"/>
      <c r="K50" s="6"/>
      <c r="L50" s="1"/>
      <c r="M50" s="1"/>
      <c r="N50" s="8"/>
      <c r="O50" s="1"/>
      <c r="P50" s="13"/>
      <c r="Q50" s="1"/>
      <c r="R50" s="28"/>
      <c r="S50" s="17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ht="13.5" customHeight="1">
      <c r="A51" s="1">
        <f ca="1">IFERROR(__xludf.DUMMYFUNCTION("""COMPUTED_VALUE"""),50)</f>
        <v>50</v>
      </c>
      <c r="B51" s="2"/>
      <c r="C51" s="3"/>
      <c r="D51" s="8"/>
      <c r="E51" s="4"/>
      <c r="F51" s="4"/>
      <c r="G51" s="1"/>
      <c r="H51" s="4"/>
      <c r="I51" s="6"/>
      <c r="J51" s="6"/>
      <c r="K51" s="6"/>
      <c r="L51" s="1"/>
      <c r="M51" s="1"/>
      <c r="N51" s="8"/>
      <c r="O51" s="1"/>
      <c r="P51" s="13"/>
      <c r="Q51" s="1"/>
      <c r="R51" s="28"/>
      <c r="S51" s="17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ht="13.5" customHeight="1">
      <c r="A52" s="1">
        <f ca="1">IFERROR(__xludf.DUMMYFUNCTION("""COMPUTED_VALUE"""),51)</f>
        <v>51</v>
      </c>
      <c r="B52" s="2"/>
      <c r="C52" s="3"/>
      <c r="D52" s="8"/>
      <c r="E52" s="4"/>
      <c r="F52" s="4"/>
      <c r="G52" s="1"/>
      <c r="H52" s="4"/>
      <c r="I52" s="6"/>
      <c r="J52" s="6"/>
      <c r="K52" s="6"/>
      <c r="L52" s="1"/>
      <c r="M52" s="1"/>
      <c r="N52" s="8"/>
      <c r="O52" s="1"/>
      <c r="P52" s="13"/>
      <c r="Q52" s="1"/>
      <c r="R52" s="28"/>
      <c r="S52" s="17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ht="13.5" customHeight="1">
      <c r="A53" s="1">
        <f ca="1">IFERROR(__xludf.DUMMYFUNCTION("""COMPUTED_VALUE"""),52)</f>
        <v>52</v>
      </c>
      <c r="B53" s="2"/>
      <c r="C53" s="3"/>
      <c r="D53" s="8"/>
      <c r="E53" s="4"/>
      <c r="F53" s="4"/>
      <c r="G53" s="1"/>
      <c r="H53" s="4"/>
      <c r="I53" s="6"/>
      <c r="J53" s="6"/>
      <c r="K53" s="6"/>
      <c r="L53" s="1"/>
      <c r="M53" s="1"/>
      <c r="N53" s="8"/>
      <c r="O53" s="1"/>
      <c r="P53" s="13"/>
      <c r="Q53" s="1"/>
      <c r="R53" s="28"/>
      <c r="S53" s="17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ht="13.5" customHeight="1">
      <c r="A54" s="1">
        <f ca="1">IFERROR(__xludf.DUMMYFUNCTION("""COMPUTED_VALUE"""),53)</f>
        <v>53</v>
      </c>
      <c r="B54" s="2"/>
      <c r="C54" s="3"/>
      <c r="D54" s="8"/>
      <c r="E54" s="4"/>
      <c r="F54" s="4"/>
      <c r="G54" s="1"/>
      <c r="H54" s="4"/>
      <c r="I54" s="6"/>
      <c r="J54" s="6"/>
      <c r="K54" s="6"/>
      <c r="L54" s="1"/>
      <c r="M54" s="1"/>
      <c r="N54" s="8"/>
      <c r="O54" s="1"/>
      <c r="P54" s="13"/>
      <c r="Q54" s="1"/>
      <c r="R54" s="28"/>
      <c r="S54" s="17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ht="13.5" customHeight="1">
      <c r="A55" s="1">
        <f ca="1">IFERROR(__xludf.DUMMYFUNCTION("""COMPUTED_VALUE"""),54)</f>
        <v>54</v>
      </c>
      <c r="B55" s="2"/>
      <c r="C55" s="3"/>
      <c r="D55" s="8"/>
      <c r="E55" s="4"/>
      <c r="F55" s="4"/>
      <c r="G55" s="1"/>
      <c r="H55" s="4"/>
      <c r="I55" s="6"/>
      <c r="J55" s="6"/>
      <c r="K55" s="6"/>
      <c r="L55" s="1"/>
      <c r="M55" s="1"/>
      <c r="N55" s="8"/>
      <c r="O55" s="1"/>
      <c r="P55" s="13"/>
      <c r="Q55" s="1"/>
      <c r="R55" s="28"/>
      <c r="S55" s="17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ht="13.5" customHeight="1">
      <c r="A56" s="1">
        <f ca="1">IFERROR(__xludf.DUMMYFUNCTION("""COMPUTED_VALUE"""),55)</f>
        <v>55</v>
      </c>
      <c r="B56" s="2"/>
      <c r="C56" s="3"/>
      <c r="D56" s="8"/>
      <c r="E56" s="4"/>
      <c r="F56" s="4"/>
      <c r="G56" s="1"/>
      <c r="H56" s="4"/>
      <c r="I56" s="6"/>
      <c r="J56" s="6"/>
      <c r="K56" s="6"/>
      <c r="L56" s="1"/>
      <c r="M56" s="1"/>
      <c r="N56" s="8"/>
      <c r="O56" s="1"/>
      <c r="P56" s="13"/>
      <c r="Q56" s="1"/>
      <c r="R56" s="28"/>
      <c r="S56" s="17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ht="13.5" customHeight="1">
      <c r="A57" s="1">
        <f ca="1">IFERROR(__xludf.DUMMYFUNCTION("""COMPUTED_VALUE"""),56)</f>
        <v>56</v>
      </c>
      <c r="B57" s="2"/>
      <c r="C57" s="3"/>
      <c r="D57" s="8"/>
      <c r="E57" s="4"/>
      <c r="F57" s="4"/>
      <c r="G57" s="1"/>
      <c r="H57" s="4"/>
      <c r="I57" s="6"/>
      <c r="J57" s="6"/>
      <c r="K57" s="6"/>
      <c r="L57" s="1"/>
      <c r="M57" s="1"/>
      <c r="N57" s="8"/>
      <c r="O57" s="1"/>
      <c r="P57" s="13"/>
      <c r="Q57" s="1"/>
      <c r="R57" s="28"/>
      <c r="S57" s="17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ht="13.5" customHeight="1">
      <c r="A58" s="1">
        <f ca="1">IFERROR(__xludf.DUMMYFUNCTION("""COMPUTED_VALUE"""),57)</f>
        <v>57</v>
      </c>
      <c r="B58" s="2"/>
      <c r="C58" s="3"/>
      <c r="D58" s="8"/>
      <c r="E58" s="4"/>
      <c r="F58" s="4"/>
      <c r="G58" s="1"/>
      <c r="H58" s="4"/>
      <c r="I58" s="6"/>
      <c r="J58" s="6"/>
      <c r="K58" s="6"/>
      <c r="L58" s="1"/>
      <c r="M58" s="1"/>
      <c r="N58" s="8"/>
      <c r="O58" s="1"/>
      <c r="P58" s="13"/>
      <c r="Q58" s="1"/>
      <c r="R58" s="28"/>
      <c r="S58" s="17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ht="13.5" customHeight="1">
      <c r="A59" s="1">
        <f ca="1">IFERROR(__xludf.DUMMYFUNCTION("""COMPUTED_VALUE"""),58)</f>
        <v>58</v>
      </c>
      <c r="B59" s="2"/>
      <c r="C59" s="3"/>
      <c r="D59" s="8"/>
      <c r="E59" s="4"/>
      <c r="F59" s="4"/>
      <c r="G59" s="1"/>
      <c r="H59" s="4"/>
      <c r="I59" s="6"/>
      <c r="J59" s="6"/>
      <c r="K59" s="6"/>
      <c r="L59" s="1"/>
      <c r="M59" s="1"/>
      <c r="N59" s="8"/>
      <c r="O59" s="1"/>
      <c r="P59" s="13"/>
      <c r="Q59" s="1"/>
      <c r="R59" s="28"/>
      <c r="S59" s="17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ht="13.5" customHeight="1">
      <c r="A60" s="1">
        <f ca="1">IFERROR(__xludf.DUMMYFUNCTION("""COMPUTED_VALUE"""),59)</f>
        <v>59</v>
      </c>
      <c r="B60" s="2"/>
      <c r="C60" s="3"/>
      <c r="D60" s="8"/>
      <c r="E60" s="4"/>
      <c r="F60" s="4"/>
      <c r="G60" s="4"/>
      <c r="H60" s="4"/>
      <c r="I60" s="6"/>
      <c r="J60" s="6"/>
      <c r="K60" s="6"/>
      <c r="L60" s="1"/>
      <c r="M60" s="1"/>
      <c r="N60" s="8"/>
      <c r="O60" s="1"/>
      <c r="P60" s="13"/>
      <c r="Q60" s="1"/>
      <c r="R60" s="28"/>
      <c r="S60" s="17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ht="13.5" customHeight="1">
      <c r="A61" s="1">
        <f ca="1">IFERROR(__xludf.DUMMYFUNCTION("""COMPUTED_VALUE"""),60)</f>
        <v>60</v>
      </c>
      <c r="B61" s="2"/>
      <c r="C61" s="3"/>
      <c r="D61" s="8"/>
      <c r="E61" s="4"/>
      <c r="F61" s="4"/>
      <c r="G61" s="1"/>
      <c r="H61" s="4"/>
      <c r="I61" s="6"/>
      <c r="J61" s="6"/>
      <c r="K61" s="6"/>
      <c r="L61" s="1"/>
      <c r="M61" s="1"/>
      <c r="N61" s="8"/>
      <c r="O61" s="1"/>
      <c r="P61" s="13"/>
      <c r="Q61" s="1"/>
      <c r="R61" s="28"/>
      <c r="S61" s="17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ht="13.5" customHeight="1">
      <c r="A62" s="1">
        <f ca="1">IFERROR(__xludf.DUMMYFUNCTION("""COMPUTED_VALUE"""),61)</f>
        <v>61</v>
      </c>
      <c r="B62" s="2"/>
      <c r="C62" s="3"/>
      <c r="D62" s="8"/>
      <c r="E62" s="4"/>
      <c r="F62" s="4"/>
      <c r="G62" s="4"/>
      <c r="H62" s="4"/>
      <c r="I62" s="6"/>
      <c r="J62" s="6"/>
      <c r="K62" s="6"/>
      <c r="L62" s="1"/>
      <c r="M62" s="1"/>
      <c r="N62" s="8"/>
      <c r="O62" s="1"/>
      <c r="P62" s="13"/>
      <c r="Q62" s="1"/>
      <c r="R62" s="28"/>
      <c r="S62" s="17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ht="13.5" customHeight="1">
      <c r="A63" s="1">
        <f ca="1">IFERROR(__xludf.DUMMYFUNCTION("""COMPUTED_VALUE"""),62)</f>
        <v>62</v>
      </c>
      <c r="B63" s="2"/>
      <c r="C63" s="3"/>
      <c r="D63" s="8"/>
      <c r="E63" s="4"/>
      <c r="F63" s="4"/>
      <c r="G63" s="1"/>
      <c r="H63" s="4"/>
      <c r="I63" s="6"/>
      <c r="J63" s="6"/>
      <c r="K63" s="6"/>
      <c r="L63" s="1"/>
      <c r="M63" s="1"/>
      <c r="N63" s="8"/>
      <c r="O63" s="1"/>
      <c r="P63" s="13"/>
      <c r="Q63" s="1"/>
      <c r="R63" s="28"/>
      <c r="S63" s="17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ht="13.5" customHeight="1">
      <c r="A64" s="1">
        <f ca="1">IFERROR(__xludf.DUMMYFUNCTION("""COMPUTED_VALUE"""),63)</f>
        <v>63</v>
      </c>
      <c r="B64" s="2"/>
      <c r="C64" s="3"/>
      <c r="D64" s="8"/>
      <c r="E64" s="4"/>
      <c r="F64" s="4"/>
      <c r="G64" s="1"/>
      <c r="H64" s="4"/>
      <c r="I64" s="6"/>
      <c r="J64" s="6"/>
      <c r="K64" s="6"/>
      <c r="L64" s="1"/>
      <c r="M64" s="1"/>
      <c r="N64" s="8"/>
      <c r="O64" s="1"/>
      <c r="P64" s="13"/>
      <c r="Q64" s="1"/>
      <c r="R64" s="28"/>
      <c r="S64" s="17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ht="13.5" customHeight="1">
      <c r="A65" s="1">
        <f ca="1">IFERROR(__xludf.DUMMYFUNCTION("""COMPUTED_VALUE"""),64)</f>
        <v>64</v>
      </c>
      <c r="B65" s="2"/>
      <c r="C65" s="3"/>
      <c r="D65" s="8"/>
      <c r="E65" s="4"/>
      <c r="F65" s="4"/>
      <c r="G65" s="1"/>
      <c r="H65" s="4"/>
      <c r="I65" s="6"/>
      <c r="J65" s="6"/>
      <c r="K65" s="6"/>
      <c r="L65" s="1"/>
      <c r="M65" s="1"/>
      <c r="N65" s="8"/>
      <c r="O65" s="1"/>
      <c r="P65" s="1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ht="13.5" customHeight="1">
      <c r="A66" s="1">
        <f ca="1">IFERROR(__xludf.DUMMYFUNCTION("""COMPUTED_VALUE"""),65)</f>
        <v>65</v>
      </c>
      <c r="B66" s="2"/>
      <c r="C66" s="3"/>
      <c r="D66" s="8"/>
      <c r="E66" s="4"/>
      <c r="F66" s="4"/>
      <c r="G66" s="1"/>
      <c r="H66" s="4"/>
      <c r="I66" s="6"/>
      <c r="J66" s="6"/>
      <c r="K66" s="6"/>
      <c r="L66" s="1"/>
      <c r="M66" s="1"/>
      <c r="N66" s="8"/>
      <c r="O66" s="1"/>
      <c r="P66" s="1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ht="13.5" customHeight="1">
      <c r="A67" s="1">
        <f ca="1">IFERROR(__xludf.DUMMYFUNCTION("""COMPUTED_VALUE"""),66)</f>
        <v>66</v>
      </c>
      <c r="B67" s="2"/>
      <c r="C67" s="3"/>
      <c r="D67" s="8"/>
      <c r="E67" s="4"/>
      <c r="F67" s="4"/>
      <c r="G67" s="1"/>
      <c r="H67" s="4"/>
      <c r="I67" s="6"/>
      <c r="J67" s="6"/>
      <c r="K67" s="6"/>
      <c r="L67" s="1"/>
      <c r="M67" s="1"/>
      <c r="N67" s="8"/>
      <c r="O67" s="1"/>
      <c r="P67" s="1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ht="13.5" customHeight="1">
      <c r="A68" s="1">
        <f ca="1">IFERROR(__xludf.DUMMYFUNCTION("""COMPUTED_VALUE"""),67)</f>
        <v>67</v>
      </c>
      <c r="B68" s="2"/>
      <c r="C68" s="3"/>
      <c r="D68" s="8"/>
      <c r="E68" s="4"/>
      <c r="F68" s="4"/>
      <c r="G68" s="1"/>
      <c r="H68" s="4"/>
      <c r="I68" s="6"/>
      <c r="J68" s="6"/>
      <c r="K68" s="6"/>
      <c r="L68" s="1"/>
      <c r="M68" s="1"/>
      <c r="N68" s="8"/>
      <c r="O68" s="1"/>
      <c r="P68" s="1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ht="13.5" customHeight="1">
      <c r="A69" s="1">
        <f ca="1">IFERROR(__xludf.DUMMYFUNCTION("""COMPUTED_VALUE"""),68)</f>
        <v>68</v>
      </c>
      <c r="B69" s="2"/>
      <c r="C69" s="3"/>
      <c r="D69" s="8"/>
      <c r="E69" s="4"/>
      <c r="F69" s="4"/>
      <c r="G69" s="1"/>
      <c r="H69" s="4"/>
      <c r="I69" s="6"/>
      <c r="J69" s="6"/>
      <c r="K69" s="6"/>
      <c r="L69" s="1"/>
      <c r="M69" s="1"/>
      <c r="N69" s="8"/>
      <c r="O69" s="1"/>
      <c r="P69" s="1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ht="13.5" customHeight="1">
      <c r="A70" s="1">
        <f ca="1">IFERROR(__xludf.DUMMYFUNCTION("""COMPUTED_VALUE"""),69)</f>
        <v>69</v>
      </c>
      <c r="B70" s="2"/>
      <c r="C70" s="3"/>
      <c r="D70" s="8"/>
      <c r="E70" s="4"/>
      <c r="F70" s="4"/>
      <c r="G70" s="1"/>
      <c r="H70" s="4"/>
      <c r="I70" s="6"/>
      <c r="J70" s="6"/>
      <c r="K70" s="6"/>
      <c r="L70" s="1"/>
      <c r="M70" s="1"/>
      <c r="N70" s="8"/>
      <c r="O70" s="1"/>
      <c r="P70" s="13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ht="13.5" customHeight="1">
      <c r="A71" s="1">
        <f ca="1">IFERROR(__xludf.DUMMYFUNCTION("""COMPUTED_VALUE"""),70)</f>
        <v>70</v>
      </c>
      <c r="B71" s="2"/>
      <c r="C71" s="3"/>
      <c r="D71" s="8"/>
      <c r="E71" s="4"/>
      <c r="F71" s="4"/>
      <c r="G71" s="1"/>
      <c r="H71" s="4"/>
      <c r="I71" s="6"/>
      <c r="J71" s="6"/>
      <c r="K71" s="6"/>
      <c r="L71" s="1"/>
      <c r="M71" s="1"/>
      <c r="N71" s="8"/>
      <c r="O71" s="1"/>
      <c r="P71" s="13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ht="13.5" customHeight="1">
      <c r="A72" s="1">
        <f ca="1">IFERROR(__xludf.DUMMYFUNCTION("""COMPUTED_VALUE"""),71)</f>
        <v>71</v>
      </c>
      <c r="B72" s="2"/>
      <c r="C72" s="3"/>
      <c r="D72" s="8"/>
      <c r="E72" s="4"/>
      <c r="F72" s="4"/>
      <c r="G72" s="1"/>
      <c r="H72" s="4"/>
      <c r="I72" s="6"/>
      <c r="J72" s="6"/>
      <c r="K72" s="6"/>
      <c r="L72" s="1"/>
      <c r="M72" s="1"/>
      <c r="N72" s="8"/>
      <c r="O72" s="1"/>
      <c r="P72" s="13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ht="13.5" customHeight="1">
      <c r="A73" s="1">
        <f ca="1">IFERROR(__xludf.DUMMYFUNCTION("""COMPUTED_VALUE"""),72)</f>
        <v>72</v>
      </c>
      <c r="B73" s="2"/>
      <c r="C73" s="3"/>
      <c r="D73" s="8"/>
      <c r="E73" s="4"/>
      <c r="F73" s="4"/>
      <c r="G73" s="1"/>
      <c r="H73" s="4"/>
      <c r="I73" s="6"/>
      <c r="J73" s="6"/>
      <c r="K73" s="6"/>
      <c r="L73" s="1"/>
      <c r="M73" s="1"/>
      <c r="N73" s="8"/>
      <c r="O73" s="1"/>
      <c r="P73" s="1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ht="13.5" customHeight="1">
      <c r="A74" s="1">
        <f ca="1">IFERROR(__xludf.DUMMYFUNCTION("""COMPUTED_VALUE"""),73)</f>
        <v>73</v>
      </c>
      <c r="B74" s="4"/>
      <c r="C74" s="3"/>
      <c r="D74" s="8"/>
      <c r="E74" s="4"/>
      <c r="F74" s="4"/>
      <c r="G74" s="4"/>
      <c r="H74" s="4"/>
      <c r="I74" s="6"/>
      <c r="J74" s="6"/>
      <c r="K74" s="6"/>
      <c r="L74" s="1"/>
      <c r="M74" s="1"/>
      <c r="N74" s="8"/>
      <c r="O74" s="1"/>
      <c r="P74" s="13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ht="13.5" customHeight="1">
      <c r="A75" s="1">
        <f ca="1">IFERROR(__xludf.DUMMYFUNCTION("""COMPUTED_VALUE"""),74)</f>
        <v>74</v>
      </c>
      <c r="B75" s="2"/>
      <c r="C75" s="3"/>
      <c r="D75" s="8"/>
      <c r="E75" s="4"/>
      <c r="F75" s="4"/>
      <c r="G75" s="4"/>
      <c r="H75" s="4"/>
      <c r="I75" s="6"/>
      <c r="J75" s="6"/>
      <c r="K75" s="6"/>
      <c r="L75" s="1"/>
      <c r="M75" s="1"/>
      <c r="N75" s="8"/>
      <c r="O75" s="1"/>
      <c r="P75" s="13"/>
      <c r="Q75" s="1"/>
      <c r="R75" s="28"/>
      <c r="S75" s="17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ht="13.5" customHeight="1">
      <c r="A76" s="1">
        <f ca="1">IFERROR(__xludf.DUMMYFUNCTION("""COMPUTED_VALUE"""),75)</f>
        <v>75</v>
      </c>
      <c r="B76" s="2"/>
      <c r="C76" s="3"/>
      <c r="D76" s="4"/>
      <c r="E76" s="4"/>
      <c r="F76" s="4"/>
      <c r="G76" s="1"/>
      <c r="H76" s="4"/>
      <c r="I76" s="6"/>
      <c r="J76" s="6"/>
      <c r="K76" s="6"/>
      <c r="L76" s="1"/>
      <c r="M76" s="1"/>
      <c r="N76" s="8"/>
      <c r="O76" s="1"/>
      <c r="P76" s="13"/>
      <c r="Q76" s="1"/>
      <c r="R76" s="28"/>
      <c r="S76" s="17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ht="13.5" customHeight="1">
      <c r="A77" s="1">
        <f ca="1">IFERROR(__xludf.DUMMYFUNCTION("""COMPUTED_VALUE"""),76)</f>
        <v>76</v>
      </c>
      <c r="B77" s="2"/>
      <c r="C77" s="3"/>
      <c r="D77" s="4"/>
      <c r="E77" s="4"/>
      <c r="F77" s="4"/>
      <c r="G77" s="4"/>
      <c r="H77" s="4"/>
      <c r="I77" s="6"/>
      <c r="J77" s="6"/>
      <c r="K77" s="6"/>
      <c r="L77" s="1"/>
      <c r="M77" s="1"/>
      <c r="N77" s="8"/>
      <c r="O77" s="1"/>
      <c r="P77" s="13"/>
      <c r="Q77" s="1"/>
      <c r="R77" s="28"/>
      <c r="S77" s="17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ht="13.5" customHeight="1">
      <c r="A78" s="1">
        <f ca="1">IFERROR(__xludf.DUMMYFUNCTION("""COMPUTED_VALUE"""),77)</f>
        <v>77</v>
      </c>
      <c r="B78" s="2"/>
      <c r="C78" s="3"/>
      <c r="D78" s="8"/>
      <c r="E78" s="4"/>
      <c r="F78" s="4"/>
      <c r="G78" s="4"/>
      <c r="H78" s="4"/>
      <c r="I78" s="6"/>
      <c r="J78" s="6"/>
      <c r="K78" s="6"/>
      <c r="L78" s="1"/>
      <c r="M78" s="1"/>
      <c r="N78" s="8"/>
      <c r="O78" s="1"/>
      <c r="P78" s="13"/>
      <c r="Q78" s="1"/>
      <c r="R78" s="28"/>
      <c r="S78" s="17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ht="13.5" customHeight="1">
      <c r="A79" s="1">
        <f ca="1">IFERROR(__xludf.DUMMYFUNCTION("""COMPUTED_VALUE"""),78)</f>
        <v>78</v>
      </c>
      <c r="B79" s="2"/>
      <c r="C79" s="3"/>
      <c r="D79" s="8"/>
      <c r="E79" s="4"/>
      <c r="F79" s="4"/>
      <c r="G79" s="4"/>
      <c r="H79" s="4"/>
      <c r="I79" s="6"/>
      <c r="J79" s="6"/>
      <c r="K79" s="6"/>
      <c r="L79" s="1"/>
      <c r="M79" s="1"/>
      <c r="N79" s="8"/>
      <c r="O79" s="1"/>
      <c r="P79" s="13"/>
      <c r="Q79" s="1"/>
      <c r="R79" s="28"/>
      <c r="S79" s="17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ht="13.5" customHeight="1">
      <c r="A80" s="1">
        <f ca="1">IFERROR(__xludf.DUMMYFUNCTION("""COMPUTED_VALUE"""),79)</f>
        <v>79</v>
      </c>
      <c r="B80" s="2"/>
      <c r="C80" s="3"/>
      <c r="D80" s="8"/>
      <c r="E80" s="4"/>
      <c r="F80" s="4"/>
      <c r="G80" s="4"/>
      <c r="H80" s="4"/>
      <c r="I80" s="6"/>
      <c r="J80" s="6"/>
      <c r="K80" s="6"/>
      <c r="L80" s="1"/>
      <c r="M80" s="1"/>
      <c r="N80" s="8"/>
      <c r="O80" s="1"/>
      <c r="P80" s="13"/>
      <c r="Q80" s="1"/>
      <c r="R80" s="28"/>
      <c r="S80" s="17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ht="13.5" customHeight="1">
      <c r="A81" s="1">
        <f ca="1">IFERROR(__xludf.DUMMYFUNCTION("""COMPUTED_VALUE"""),80)</f>
        <v>80</v>
      </c>
      <c r="B81" s="4"/>
      <c r="C81" s="3"/>
      <c r="D81" s="4"/>
      <c r="E81" s="4"/>
      <c r="F81" s="4"/>
      <c r="G81" s="4"/>
      <c r="H81" s="4"/>
      <c r="I81" s="6"/>
      <c r="J81" s="6"/>
      <c r="K81" s="6"/>
      <c r="L81" s="1"/>
      <c r="M81" s="1"/>
      <c r="N81" s="8"/>
      <c r="O81" s="1"/>
      <c r="P81" s="13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ht="13.5" customHeight="1">
      <c r="A82" s="1">
        <f ca="1">IFERROR(__xludf.DUMMYFUNCTION("""COMPUTED_VALUE"""),81)</f>
        <v>81</v>
      </c>
      <c r="B82" s="2"/>
      <c r="C82" s="3"/>
      <c r="D82" s="4"/>
      <c r="E82" s="4"/>
      <c r="F82" s="4"/>
      <c r="G82" s="1"/>
      <c r="H82" s="4"/>
      <c r="I82" s="6"/>
      <c r="J82" s="6"/>
      <c r="K82" s="6"/>
      <c r="L82" s="1"/>
      <c r="M82" s="1"/>
      <c r="N82" s="8"/>
      <c r="O82" s="1"/>
      <c r="P82" s="13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ht="13.5" customHeight="1">
      <c r="A83" s="1">
        <f ca="1">IFERROR(__xludf.DUMMYFUNCTION("""COMPUTED_VALUE"""),82)</f>
        <v>82</v>
      </c>
      <c r="B83" s="2"/>
      <c r="C83" s="3"/>
      <c r="D83" s="1"/>
      <c r="E83" s="4"/>
      <c r="F83" s="4"/>
      <c r="G83" s="1"/>
      <c r="H83" s="4"/>
      <c r="I83" s="6"/>
      <c r="J83" s="6"/>
      <c r="K83" s="6"/>
      <c r="L83" s="1"/>
      <c r="M83" s="1"/>
      <c r="N83" s="1"/>
      <c r="O83" s="1"/>
      <c r="P83" s="13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ht="13.5" customHeight="1">
      <c r="A84" s="1">
        <f ca="1">IFERROR(__xludf.DUMMYFUNCTION("""COMPUTED_VALUE"""),83)</f>
        <v>83</v>
      </c>
      <c r="B84" s="2"/>
      <c r="C84" s="3"/>
      <c r="D84" s="1"/>
      <c r="E84" s="4"/>
      <c r="F84" s="4"/>
      <c r="G84" s="1"/>
      <c r="H84" s="4"/>
      <c r="I84" s="6"/>
      <c r="J84" s="6"/>
      <c r="K84" s="6"/>
      <c r="L84" s="1"/>
      <c r="M84" s="1"/>
      <c r="N84" s="1"/>
      <c r="O84" s="1"/>
      <c r="P84" s="1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ht="13.5" customHeight="1">
      <c r="A85" s="1">
        <f ca="1">IFERROR(__xludf.DUMMYFUNCTION("""COMPUTED_VALUE"""),84)</f>
        <v>84</v>
      </c>
      <c r="B85" s="2"/>
      <c r="C85" s="3"/>
      <c r="D85" s="1"/>
      <c r="E85" s="4"/>
      <c r="F85" s="4"/>
      <c r="G85" s="1"/>
      <c r="H85" s="4"/>
      <c r="I85" s="6"/>
      <c r="J85" s="6"/>
      <c r="K85" s="6"/>
      <c r="L85" s="1"/>
      <c r="M85" s="1"/>
      <c r="N85" s="1"/>
      <c r="O85" s="1"/>
      <c r="P85" s="1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ht="13.5" customHeight="1">
      <c r="A86" s="1">
        <f ca="1">IFERROR(__xludf.DUMMYFUNCTION("""COMPUTED_VALUE"""),85)</f>
        <v>85</v>
      </c>
      <c r="B86" s="2"/>
      <c r="C86" s="3"/>
      <c r="D86" s="8"/>
      <c r="E86" s="4"/>
      <c r="F86" s="4"/>
      <c r="G86" s="1"/>
      <c r="H86" s="4"/>
      <c r="I86" s="6"/>
      <c r="J86" s="6"/>
      <c r="K86" s="6"/>
      <c r="L86" s="1"/>
      <c r="M86" s="1"/>
      <c r="N86" s="1"/>
      <c r="O86" s="1"/>
      <c r="P86" s="1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ht="13.5" customHeight="1">
      <c r="A87" s="1">
        <f ca="1">IFERROR(__xludf.DUMMYFUNCTION("""COMPUTED_VALUE"""),86)</f>
        <v>86</v>
      </c>
      <c r="B87" s="2"/>
      <c r="C87" s="3"/>
      <c r="D87" s="1"/>
      <c r="E87" s="4"/>
      <c r="F87" s="4"/>
      <c r="G87" s="1"/>
      <c r="H87" s="4"/>
      <c r="I87" s="6"/>
      <c r="J87" s="6"/>
      <c r="K87" s="6"/>
      <c r="L87" s="1"/>
      <c r="M87" s="1"/>
      <c r="N87" s="1"/>
      <c r="O87" s="1"/>
      <c r="P87" s="1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ht="13.5" customHeight="1">
      <c r="A88" s="1">
        <f ca="1">IFERROR(__xludf.DUMMYFUNCTION("""COMPUTED_VALUE"""),87)</f>
        <v>87</v>
      </c>
      <c r="B88" s="2"/>
      <c r="C88" s="3"/>
      <c r="D88" s="1"/>
      <c r="E88" s="4"/>
      <c r="F88" s="4"/>
      <c r="G88" s="1"/>
      <c r="H88" s="4"/>
      <c r="I88" s="6"/>
      <c r="J88" s="6"/>
      <c r="K88" s="6"/>
      <c r="L88" s="1"/>
      <c r="M88" s="1"/>
      <c r="N88" s="1"/>
      <c r="O88" s="1"/>
      <c r="P88" s="1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ht="13.5" customHeight="1">
      <c r="A89" s="1">
        <f ca="1">IFERROR(__xludf.DUMMYFUNCTION("""COMPUTED_VALUE"""),88)</f>
        <v>88</v>
      </c>
      <c r="B89" s="2"/>
      <c r="C89" s="3"/>
      <c r="D89" s="1"/>
      <c r="E89" s="4"/>
      <c r="F89" s="4"/>
      <c r="G89" s="1"/>
      <c r="H89" s="4"/>
      <c r="I89" s="6"/>
      <c r="J89" s="6"/>
      <c r="K89" s="6"/>
      <c r="L89" s="1"/>
      <c r="M89" s="1"/>
      <c r="N89" s="1"/>
      <c r="O89" s="1"/>
      <c r="P89" s="1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ht="13.5" customHeight="1">
      <c r="A90" s="1">
        <f ca="1">IFERROR(__xludf.DUMMYFUNCTION("""COMPUTED_VALUE"""),89)</f>
        <v>89</v>
      </c>
      <c r="B90" s="2"/>
      <c r="C90" s="3"/>
      <c r="D90" s="8"/>
      <c r="E90" s="4"/>
      <c r="F90" s="4"/>
      <c r="G90" s="1"/>
      <c r="H90" s="4"/>
      <c r="I90" s="6"/>
      <c r="J90" s="6"/>
      <c r="K90" s="6"/>
      <c r="L90" s="1"/>
      <c r="M90" s="1"/>
      <c r="N90" s="1"/>
      <c r="O90" s="1"/>
      <c r="P90" s="1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ht="13.5" customHeight="1">
      <c r="A91" s="1">
        <f ca="1">IFERROR(__xludf.DUMMYFUNCTION("""COMPUTED_VALUE"""),90)</f>
        <v>90</v>
      </c>
      <c r="B91" s="2"/>
      <c r="C91" s="3"/>
      <c r="D91" s="1"/>
      <c r="E91" s="4"/>
      <c r="F91" s="4"/>
      <c r="G91" s="1"/>
      <c r="H91" s="4"/>
      <c r="I91" s="6"/>
      <c r="J91" s="6"/>
      <c r="K91" s="6"/>
      <c r="L91" s="1"/>
      <c r="M91" s="1"/>
      <c r="N91" s="1"/>
      <c r="O91" s="1"/>
      <c r="P91" s="1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ht="13.5" customHeight="1">
      <c r="A92" s="1">
        <f ca="1">IFERROR(__xludf.DUMMYFUNCTION("""COMPUTED_VALUE"""),91)</f>
        <v>91</v>
      </c>
      <c r="B92" s="2"/>
      <c r="C92" s="3"/>
      <c r="D92" s="1"/>
      <c r="E92" s="4"/>
      <c r="F92" s="4"/>
      <c r="G92" s="1"/>
      <c r="H92" s="4"/>
      <c r="I92" s="6"/>
      <c r="J92" s="6"/>
      <c r="K92" s="6"/>
      <c r="L92" s="1"/>
      <c r="M92" s="1"/>
      <c r="N92" s="1"/>
      <c r="O92" s="1"/>
      <c r="P92" s="1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ht="13.5" customHeight="1">
      <c r="A93" s="1">
        <f ca="1">IFERROR(__xludf.DUMMYFUNCTION("""COMPUTED_VALUE"""),92)</f>
        <v>92</v>
      </c>
      <c r="B93" s="2"/>
      <c r="C93" s="3"/>
      <c r="D93" s="1"/>
      <c r="E93" s="4"/>
      <c r="F93" s="4"/>
      <c r="G93" s="1"/>
      <c r="H93" s="4"/>
      <c r="I93" s="6"/>
      <c r="J93" s="6"/>
      <c r="K93" s="6"/>
      <c r="L93" s="1"/>
      <c r="M93" s="1"/>
      <c r="N93" s="1"/>
      <c r="O93" s="1"/>
      <c r="P93" s="1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ht="13.5" customHeight="1">
      <c r="A94" s="1">
        <f ca="1">IFERROR(__xludf.DUMMYFUNCTION("""COMPUTED_VALUE"""),93)</f>
        <v>93</v>
      </c>
      <c r="B94" s="2"/>
      <c r="C94" s="3"/>
      <c r="D94" s="1"/>
      <c r="E94" s="4"/>
      <c r="F94" s="4"/>
      <c r="G94" s="1"/>
      <c r="H94" s="4"/>
      <c r="I94" s="6"/>
      <c r="J94" s="6"/>
      <c r="K94" s="6"/>
      <c r="L94" s="1"/>
      <c r="M94" s="1"/>
      <c r="N94" s="1"/>
      <c r="O94" s="1"/>
      <c r="P94" s="13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ht="13.5" customHeight="1">
      <c r="A95" s="1">
        <f ca="1">IFERROR(__xludf.DUMMYFUNCTION("""COMPUTED_VALUE"""),94)</f>
        <v>94</v>
      </c>
      <c r="B95" s="2"/>
      <c r="C95" s="3"/>
      <c r="D95" s="1"/>
      <c r="E95" s="4"/>
      <c r="F95" s="4"/>
      <c r="G95" s="1"/>
      <c r="H95" s="4"/>
      <c r="I95" s="6"/>
      <c r="J95" s="6"/>
      <c r="K95" s="6"/>
      <c r="L95" s="1"/>
      <c r="M95" s="1"/>
      <c r="N95" s="1"/>
      <c r="O95" s="1"/>
      <c r="P95" s="13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ht="13.5" customHeight="1">
      <c r="A96" s="1">
        <f ca="1">IFERROR(__xludf.DUMMYFUNCTION("""COMPUTED_VALUE"""),95)</f>
        <v>95</v>
      </c>
      <c r="B96" s="2"/>
      <c r="C96" s="3"/>
      <c r="D96" s="8"/>
      <c r="E96" s="4"/>
      <c r="F96" s="4"/>
      <c r="G96" s="1"/>
      <c r="H96" s="4"/>
      <c r="I96" s="6"/>
      <c r="J96" s="6"/>
      <c r="K96" s="6"/>
      <c r="L96" s="1"/>
      <c r="M96" s="1"/>
      <c r="N96" s="1"/>
      <c r="O96" s="1"/>
      <c r="P96" s="13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ht="13.5" customHeight="1">
      <c r="A97" s="1">
        <f ca="1">IFERROR(__xludf.DUMMYFUNCTION("""COMPUTED_VALUE"""),96)</f>
        <v>96</v>
      </c>
      <c r="B97" s="2"/>
      <c r="C97" s="3"/>
      <c r="D97" s="1"/>
      <c r="E97" s="4"/>
      <c r="F97" s="4"/>
      <c r="G97" s="1"/>
      <c r="H97" s="4"/>
      <c r="I97" s="6"/>
      <c r="J97" s="6"/>
      <c r="K97" s="6"/>
      <c r="L97" s="1"/>
      <c r="M97" s="1"/>
      <c r="N97" s="1"/>
      <c r="O97" s="1"/>
      <c r="P97" s="13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ht="13.5" customHeight="1">
      <c r="A98" s="1">
        <f ca="1">IFERROR(__xludf.DUMMYFUNCTION("""COMPUTED_VALUE"""),97)</f>
        <v>97</v>
      </c>
      <c r="B98" s="2"/>
      <c r="C98" s="3"/>
      <c r="D98" s="8"/>
      <c r="E98" s="4"/>
      <c r="F98" s="4"/>
      <c r="G98" s="4"/>
      <c r="H98" s="4"/>
      <c r="I98" s="6"/>
      <c r="J98" s="6"/>
      <c r="K98" s="6"/>
      <c r="L98" s="1"/>
      <c r="M98" s="1"/>
      <c r="N98" s="1"/>
      <c r="O98" s="1"/>
      <c r="P98" s="13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ht="13.5" customHeight="1">
      <c r="A99" s="1">
        <f ca="1">IFERROR(__xludf.DUMMYFUNCTION("""COMPUTED_VALUE"""),98)</f>
        <v>98</v>
      </c>
      <c r="B99" s="2"/>
      <c r="C99" s="3"/>
      <c r="D99" s="8"/>
      <c r="E99" s="4"/>
      <c r="F99" s="4"/>
      <c r="G99" s="4"/>
      <c r="H99" s="4"/>
      <c r="I99" s="6"/>
      <c r="J99" s="6"/>
      <c r="K99" s="6"/>
      <c r="L99" s="1"/>
      <c r="M99" s="1"/>
      <c r="N99" s="1"/>
      <c r="O99" s="1"/>
      <c r="P99" s="13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ht="13.5" customHeight="1">
      <c r="A100" s="1">
        <f ca="1">IFERROR(__xludf.DUMMYFUNCTION("""COMPUTED_VALUE"""),99)</f>
        <v>99</v>
      </c>
      <c r="B100" s="2"/>
      <c r="C100" s="3"/>
      <c r="D100" s="1"/>
      <c r="E100" s="4"/>
      <c r="F100" s="4"/>
      <c r="G100" s="4"/>
      <c r="H100" s="4"/>
      <c r="I100" s="6"/>
      <c r="J100" s="6"/>
      <c r="K100" s="6"/>
      <c r="L100" s="1"/>
      <c r="M100" s="1"/>
      <c r="N100" s="1"/>
      <c r="O100" s="1"/>
      <c r="P100" s="1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ht="13.5" customHeight="1">
      <c r="A101" s="1">
        <f ca="1">IFERROR(__xludf.DUMMYFUNCTION("""COMPUTED_VALUE"""),100)</f>
        <v>100</v>
      </c>
      <c r="B101" s="4"/>
      <c r="C101" s="3"/>
      <c r="D101" s="1"/>
      <c r="E101" s="1"/>
      <c r="F101" s="1"/>
      <c r="G101" s="1"/>
      <c r="H101" s="4"/>
      <c r="I101" s="6"/>
      <c r="J101" s="6"/>
      <c r="K101" s="6"/>
      <c r="L101" s="1"/>
      <c r="M101" s="1"/>
      <c r="N101" s="1"/>
      <c r="O101" s="1"/>
      <c r="P101" s="13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ht="13.5" customHeight="1">
      <c r="A102" s="1">
        <f ca="1">IFERROR(__xludf.DUMMYFUNCTION("""COMPUTED_VALUE"""),101)</f>
        <v>101</v>
      </c>
      <c r="B102" s="4"/>
      <c r="C102" s="3"/>
      <c r="D102" s="1"/>
      <c r="E102" s="1"/>
      <c r="F102" s="1"/>
      <c r="G102" s="1"/>
      <c r="H102" s="4"/>
      <c r="I102" s="6"/>
      <c r="J102" s="6"/>
      <c r="K102" s="6"/>
      <c r="L102" s="1"/>
      <c r="M102" s="1"/>
      <c r="N102" s="1"/>
      <c r="O102" s="1"/>
      <c r="P102" s="1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ht="13.5" customHeight="1">
      <c r="A103" s="1">
        <f ca="1">IFERROR(__xludf.DUMMYFUNCTION("""COMPUTED_VALUE"""),102)</f>
        <v>102</v>
      </c>
      <c r="B103" s="4"/>
      <c r="C103" s="3"/>
      <c r="D103" s="1"/>
      <c r="E103" s="1"/>
      <c r="F103" s="1"/>
      <c r="G103" s="1"/>
      <c r="H103" s="1"/>
      <c r="I103" s="6"/>
      <c r="J103" s="6"/>
      <c r="K103" s="6"/>
      <c r="L103" s="1"/>
      <c r="M103" s="1"/>
      <c r="N103" s="1"/>
      <c r="O103" s="1"/>
      <c r="P103" s="1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ht="13.5" customHeight="1">
      <c r="A104" s="1">
        <f ca="1">IFERROR(__xludf.DUMMYFUNCTION("""COMPUTED_VALUE"""),103)</f>
        <v>103</v>
      </c>
      <c r="B104" s="4"/>
      <c r="C104" s="3"/>
      <c r="D104" s="1"/>
      <c r="E104" s="1"/>
      <c r="F104" s="1"/>
      <c r="G104" s="1"/>
      <c r="H104" s="1"/>
      <c r="I104" s="6"/>
      <c r="J104" s="6"/>
      <c r="K104" s="6"/>
      <c r="L104" s="1"/>
      <c r="M104" s="1"/>
      <c r="N104" s="1"/>
      <c r="O104" s="1"/>
      <c r="P104" s="13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ht="13.5" customHeight="1">
      <c r="A105" s="1">
        <f ca="1">IFERROR(__xludf.DUMMYFUNCTION("""COMPUTED_VALUE"""),104)</f>
        <v>104</v>
      </c>
      <c r="B105" s="4"/>
      <c r="C105" s="3"/>
      <c r="D105" s="1"/>
      <c r="E105" s="1"/>
      <c r="F105" s="1"/>
      <c r="G105" s="1"/>
      <c r="H105" s="1"/>
      <c r="I105" s="6"/>
      <c r="J105" s="6"/>
      <c r="K105" s="6"/>
      <c r="L105" s="1"/>
      <c r="M105" s="1"/>
      <c r="N105" s="1"/>
      <c r="O105" s="1"/>
      <c r="P105" s="1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ht="13.5" customHeight="1">
      <c r="A106" s="1">
        <f ca="1">IFERROR(__xludf.DUMMYFUNCTION("""COMPUTED_VALUE"""),105)</f>
        <v>105</v>
      </c>
      <c r="B106" s="4"/>
      <c r="C106" s="3"/>
      <c r="D106" s="1"/>
      <c r="E106" s="1"/>
      <c r="F106" s="1"/>
      <c r="G106" s="1"/>
      <c r="H106" s="1"/>
      <c r="I106" s="6"/>
      <c r="J106" s="6"/>
      <c r="K106" s="6"/>
      <c r="L106" s="1"/>
      <c r="M106" s="1"/>
      <c r="N106" s="1"/>
      <c r="O106" s="1"/>
      <c r="P106" s="1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ht="13.5" customHeight="1">
      <c r="A107" s="1">
        <f ca="1">IFERROR(__xludf.DUMMYFUNCTION("""COMPUTED_VALUE"""),106)</f>
        <v>106</v>
      </c>
      <c r="B107" s="4"/>
      <c r="C107" s="3"/>
      <c r="D107" s="1"/>
      <c r="E107" s="1"/>
      <c r="F107" s="1"/>
      <c r="G107" s="1"/>
      <c r="H107" s="1"/>
      <c r="I107" s="6"/>
      <c r="J107" s="6"/>
      <c r="K107" s="6"/>
      <c r="L107" s="1"/>
      <c r="M107" s="1"/>
      <c r="N107" s="1"/>
      <c r="O107" s="1"/>
      <c r="P107" s="13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ht="13.5" customHeight="1">
      <c r="A108" s="1">
        <f ca="1">IFERROR(__xludf.DUMMYFUNCTION("""COMPUTED_VALUE"""),107)</f>
        <v>107</v>
      </c>
      <c r="B108" s="4"/>
      <c r="C108" s="3"/>
      <c r="D108" s="1"/>
      <c r="E108" s="1"/>
      <c r="F108" s="1"/>
      <c r="G108" s="1"/>
      <c r="H108" s="1"/>
      <c r="I108" s="6"/>
      <c r="J108" s="6"/>
      <c r="K108" s="6"/>
      <c r="L108" s="1"/>
      <c r="M108" s="1"/>
      <c r="N108" s="1"/>
      <c r="O108" s="1"/>
      <c r="P108" s="13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ht="13.5" customHeight="1">
      <c r="A109" s="1">
        <f ca="1">IFERROR(__xludf.DUMMYFUNCTION("""COMPUTED_VALUE"""),108)</f>
        <v>108</v>
      </c>
      <c r="B109" s="4"/>
      <c r="C109" s="3"/>
      <c r="D109" s="1"/>
      <c r="E109" s="4"/>
      <c r="F109" s="1"/>
      <c r="G109" s="1"/>
      <c r="H109" s="1"/>
      <c r="I109" s="6"/>
      <c r="J109" s="6"/>
      <c r="K109" s="6"/>
      <c r="L109" s="1"/>
      <c r="M109" s="1"/>
      <c r="N109" s="1"/>
      <c r="O109" s="1"/>
      <c r="P109" s="1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ht="13.5" customHeight="1">
      <c r="A110" s="1">
        <f ca="1">IFERROR(__xludf.DUMMYFUNCTION("""COMPUTED_VALUE"""),109)</f>
        <v>109</v>
      </c>
      <c r="B110" s="4"/>
      <c r="C110" s="3"/>
      <c r="D110" s="1"/>
      <c r="E110" s="4"/>
      <c r="F110" s="1"/>
      <c r="G110" s="1"/>
      <c r="H110" s="1"/>
      <c r="I110" s="6"/>
      <c r="J110" s="6"/>
      <c r="K110" s="6"/>
      <c r="L110" s="1"/>
      <c r="M110" s="1"/>
      <c r="N110" s="1"/>
      <c r="O110" s="1"/>
      <c r="P110" s="13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ht="13.5" customHeight="1">
      <c r="A111" s="1">
        <f ca="1">IFERROR(__xludf.DUMMYFUNCTION("""COMPUTED_VALUE"""),110)</f>
        <v>110</v>
      </c>
      <c r="B111" s="4"/>
      <c r="C111" s="3"/>
      <c r="D111" s="1"/>
      <c r="E111" s="4"/>
      <c r="F111" s="1"/>
      <c r="G111" s="1"/>
      <c r="H111" s="1"/>
      <c r="I111" s="6"/>
      <c r="J111" s="6"/>
      <c r="K111" s="6"/>
      <c r="L111" s="1"/>
      <c r="M111" s="1"/>
      <c r="N111" s="1"/>
      <c r="O111" s="1"/>
      <c r="P111" s="13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ht="13.5" customHeight="1">
      <c r="A112" s="1">
        <f ca="1">IFERROR(__xludf.DUMMYFUNCTION("""COMPUTED_VALUE"""),111)</f>
        <v>111</v>
      </c>
      <c r="B112" s="4"/>
      <c r="C112" s="3"/>
      <c r="D112" s="1"/>
      <c r="E112" s="1"/>
      <c r="F112" s="1"/>
      <c r="G112" s="1"/>
      <c r="H112" s="1"/>
      <c r="I112" s="6"/>
      <c r="J112" s="6"/>
      <c r="K112" s="6"/>
      <c r="L112" s="1"/>
      <c r="M112" s="1"/>
      <c r="N112" s="1"/>
      <c r="O112" s="1"/>
      <c r="P112" s="13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ht="13.5" customHeight="1">
      <c r="A113" s="1">
        <f ca="1">IFERROR(__xludf.DUMMYFUNCTION("""COMPUTED_VALUE"""),112)</f>
        <v>112</v>
      </c>
      <c r="B113" s="4"/>
      <c r="C113" s="3"/>
      <c r="D113" s="1"/>
      <c r="E113" s="1"/>
      <c r="F113" s="1"/>
      <c r="G113" s="1"/>
      <c r="H113" s="1"/>
      <c r="I113" s="6"/>
      <c r="J113" s="6"/>
      <c r="K113" s="6"/>
      <c r="L113" s="1"/>
      <c r="M113" s="1"/>
      <c r="N113" s="1"/>
      <c r="O113" s="1"/>
      <c r="P113" s="13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ht="13.5" customHeight="1">
      <c r="A114" s="1"/>
      <c r="B114" s="1"/>
      <c r="C114" s="3"/>
      <c r="D114" s="1"/>
      <c r="E114" s="1"/>
      <c r="F114" s="1"/>
      <c r="G114" s="1"/>
      <c r="H114" s="1"/>
      <c r="I114" s="6"/>
      <c r="J114" s="6"/>
      <c r="K114" s="6"/>
      <c r="L114" s="1"/>
      <c r="M114" s="1"/>
      <c r="N114" s="1"/>
      <c r="O114" s="1"/>
      <c r="P114" s="13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ht="13.5" customHeight="1">
      <c r="A115" s="1"/>
      <c r="B115" s="1"/>
      <c r="C115" s="3"/>
      <c r="D115" s="1"/>
      <c r="E115" s="1"/>
      <c r="F115" s="1"/>
      <c r="G115" s="1"/>
      <c r="H115" s="1"/>
      <c r="I115" s="6"/>
      <c r="J115" s="6"/>
      <c r="K115" s="6"/>
      <c r="L115" s="1"/>
      <c r="M115" s="1"/>
      <c r="N115" s="1"/>
      <c r="O115" s="1"/>
      <c r="P115" s="13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ht="13.5" customHeight="1">
      <c r="A116" s="1"/>
      <c r="B116" s="1"/>
      <c r="C116" s="3"/>
      <c r="D116" s="1"/>
      <c r="E116" s="1"/>
      <c r="F116" s="1"/>
      <c r="G116" s="1"/>
      <c r="H116" s="1"/>
      <c r="I116" s="6"/>
      <c r="J116" s="6"/>
      <c r="K116" s="6"/>
      <c r="L116" s="1"/>
      <c r="M116" s="1"/>
      <c r="N116" s="1"/>
      <c r="O116" s="1"/>
      <c r="P116" s="13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ht="13.5" customHeight="1">
      <c r="A117" s="1"/>
      <c r="B117" s="1"/>
      <c r="C117" s="3"/>
      <c r="D117" s="1"/>
      <c r="E117" s="1"/>
      <c r="F117" s="1"/>
      <c r="G117" s="1"/>
      <c r="H117" s="1"/>
      <c r="I117" s="6"/>
      <c r="J117" s="6"/>
      <c r="K117" s="6"/>
      <c r="L117" s="1"/>
      <c r="M117" s="1"/>
      <c r="N117" s="1"/>
      <c r="O117" s="1"/>
      <c r="P117" s="13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ht="13.5" customHeight="1">
      <c r="A118" s="1"/>
      <c r="B118" s="1"/>
      <c r="C118" s="3"/>
      <c r="D118" s="1"/>
      <c r="E118" s="1"/>
      <c r="F118" s="1"/>
      <c r="G118" s="1"/>
      <c r="H118" s="1"/>
      <c r="I118" s="6"/>
      <c r="J118" s="6"/>
      <c r="K118" s="6"/>
      <c r="L118" s="1"/>
      <c r="M118" s="1"/>
      <c r="N118" s="1"/>
      <c r="O118" s="1"/>
      <c r="P118" s="13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ht="13.5" customHeight="1">
      <c r="A119" s="1"/>
      <c r="B119" s="1"/>
      <c r="C119" s="3"/>
      <c r="D119" s="1"/>
      <c r="E119" s="1"/>
      <c r="F119" s="1"/>
      <c r="G119" s="1"/>
      <c r="H119" s="1"/>
      <c r="I119" s="6"/>
      <c r="J119" s="6"/>
      <c r="K119" s="6"/>
      <c r="L119" s="1"/>
      <c r="M119" s="1"/>
      <c r="N119" s="1"/>
      <c r="O119" s="1"/>
      <c r="P119" s="13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ht="13.5" customHeight="1">
      <c r="A120" s="1"/>
      <c r="B120" s="1"/>
      <c r="C120" s="3"/>
      <c r="D120" s="1"/>
      <c r="E120" s="1"/>
      <c r="F120" s="1"/>
      <c r="G120" s="1"/>
      <c r="H120" s="1"/>
      <c r="I120" s="6"/>
      <c r="J120" s="6"/>
      <c r="K120" s="6"/>
      <c r="L120" s="1"/>
      <c r="M120" s="1"/>
      <c r="N120" s="1"/>
      <c r="O120" s="1"/>
      <c r="P120" s="13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ht="13.5" customHeight="1">
      <c r="A121" s="1"/>
      <c r="B121" s="1"/>
      <c r="C121" s="3"/>
      <c r="D121" s="1"/>
      <c r="E121" s="1"/>
      <c r="F121" s="1"/>
      <c r="G121" s="1"/>
      <c r="H121" s="1"/>
      <c r="I121" s="6"/>
      <c r="J121" s="6"/>
      <c r="K121" s="6"/>
      <c r="L121" s="1"/>
      <c r="M121" s="1"/>
      <c r="N121" s="1"/>
      <c r="O121" s="1"/>
      <c r="P121" s="13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ht="13.5" customHeight="1">
      <c r="A122" s="1"/>
      <c r="B122" s="1"/>
      <c r="C122" s="3"/>
      <c r="D122" s="1"/>
      <c r="E122" s="1"/>
      <c r="F122" s="1"/>
      <c r="G122" s="1"/>
      <c r="H122" s="1"/>
      <c r="I122" s="6"/>
      <c r="J122" s="6"/>
      <c r="K122" s="6"/>
      <c r="L122" s="1"/>
      <c r="M122" s="1"/>
      <c r="N122" s="1"/>
      <c r="O122" s="1"/>
      <c r="P122" s="1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ht="13.5" customHeight="1">
      <c r="A123" s="1"/>
      <c r="B123" s="1"/>
      <c r="C123" s="3"/>
      <c r="D123" s="1"/>
      <c r="E123" s="1"/>
      <c r="F123" s="1"/>
      <c r="G123" s="1"/>
      <c r="H123" s="1"/>
      <c r="I123" s="6"/>
      <c r="J123" s="6"/>
      <c r="K123" s="6"/>
      <c r="L123" s="1"/>
      <c r="M123" s="1"/>
      <c r="N123" s="1"/>
      <c r="O123" s="1"/>
      <c r="P123" s="13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ht="13.5" customHeight="1">
      <c r="A124" s="1"/>
      <c r="B124" s="1"/>
      <c r="C124" s="3"/>
      <c r="D124" s="1"/>
      <c r="E124" s="1"/>
      <c r="F124" s="1"/>
      <c r="G124" s="1"/>
      <c r="H124" s="1"/>
      <c r="I124" s="6"/>
      <c r="J124" s="6"/>
      <c r="K124" s="6"/>
      <c r="L124" s="1"/>
      <c r="M124" s="1"/>
      <c r="N124" s="1"/>
      <c r="O124" s="1"/>
      <c r="P124" s="13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ht="13.5" customHeight="1">
      <c r="A125" s="1"/>
      <c r="B125" s="1"/>
      <c r="C125" s="3"/>
      <c r="D125" s="1"/>
      <c r="E125" s="1"/>
      <c r="F125" s="1"/>
      <c r="G125" s="1"/>
      <c r="H125" s="1"/>
      <c r="I125" s="6"/>
      <c r="J125" s="6"/>
      <c r="K125" s="6"/>
      <c r="L125" s="1"/>
      <c r="M125" s="1"/>
      <c r="N125" s="1"/>
      <c r="O125" s="1"/>
      <c r="P125" s="13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ht="13.5" customHeight="1">
      <c r="A126" s="1"/>
      <c r="B126" s="1"/>
      <c r="C126" s="3"/>
      <c r="D126" s="1"/>
      <c r="E126" s="1"/>
      <c r="F126" s="1"/>
      <c r="G126" s="1"/>
      <c r="H126" s="1"/>
      <c r="I126" s="6"/>
      <c r="J126" s="6"/>
      <c r="K126" s="6"/>
      <c r="L126" s="1"/>
      <c r="M126" s="1"/>
      <c r="N126" s="1"/>
      <c r="O126" s="1"/>
      <c r="P126" s="13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ht="13.5" customHeight="1">
      <c r="A127" s="1"/>
      <c r="B127" s="1"/>
      <c r="C127" s="3"/>
      <c r="D127" s="1"/>
      <c r="E127" s="1"/>
      <c r="F127" s="1"/>
      <c r="G127" s="1"/>
      <c r="H127" s="1"/>
      <c r="I127" s="6"/>
      <c r="J127" s="6"/>
      <c r="K127" s="6"/>
      <c r="L127" s="1"/>
      <c r="M127" s="1"/>
      <c r="N127" s="1"/>
      <c r="O127" s="1"/>
      <c r="P127" s="13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ht="13.5" customHeight="1">
      <c r="A128" s="1"/>
      <c r="B128" s="1"/>
      <c r="C128" s="3"/>
      <c r="D128" s="1"/>
      <c r="E128" s="1"/>
      <c r="F128" s="1"/>
      <c r="G128" s="1"/>
      <c r="H128" s="1"/>
      <c r="I128" s="6"/>
      <c r="J128" s="6"/>
      <c r="K128" s="6"/>
      <c r="L128" s="1"/>
      <c r="M128" s="1"/>
      <c r="N128" s="1"/>
      <c r="O128" s="1"/>
      <c r="P128" s="13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ht="13.5" customHeight="1">
      <c r="A129" s="1"/>
      <c r="B129" s="1"/>
      <c r="C129" s="3"/>
      <c r="D129" s="1"/>
      <c r="E129" s="1"/>
      <c r="F129" s="1"/>
      <c r="G129" s="1"/>
      <c r="H129" s="1"/>
      <c r="I129" s="6"/>
      <c r="J129" s="6"/>
      <c r="K129" s="6"/>
      <c r="L129" s="1"/>
      <c r="M129" s="1"/>
      <c r="N129" s="1"/>
      <c r="O129" s="1"/>
      <c r="P129" s="13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ht="13.5" customHeight="1">
      <c r="A130" s="1"/>
      <c r="B130" s="1"/>
      <c r="C130" s="3"/>
      <c r="D130" s="1"/>
      <c r="E130" s="1"/>
      <c r="F130" s="1"/>
      <c r="G130" s="1"/>
      <c r="H130" s="1"/>
      <c r="I130" s="6"/>
      <c r="J130" s="6"/>
      <c r="K130" s="6"/>
      <c r="L130" s="1"/>
      <c r="M130" s="1"/>
      <c r="N130" s="1"/>
      <c r="O130" s="1"/>
      <c r="P130" s="13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ht="13.5" customHeight="1">
      <c r="A131" s="1"/>
      <c r="B131" s="1"/>
      <c r="C131" s="3"/>
      <c r="D131" s="1"/>
      <c r="E131" s="1"/>
      <c r="F131" s="1"/>
      <c r="G131" s="1"/>
      <c r="H131" s="1"/>
      <c r="I131" s="6"/>
      <c r="J131" s="6"/>
      <c r="K131" s="6"/>
      <c r="L131" s="1"/>
      <c r="M131" s="1"/>
      <c r="N131" s="1"/>
      <c r="O131" s="1"/>
      <c r="P131" s="13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ht="13.5" customHeight="1">
      <c r="A132" s="1"/>
      <c r="B132" s="1"/>
      <c r="C132" s="3"/>
      <c r="D132" s="1"/>
      <c r="E132" s="1"/>
      <c r="F132" s="1"/>
      <c r="G132" s="1"/>
      <c r="H132" s="1"/>
      <c r="I132" s="6"/>
      <c r="J132" s="6"/>
      <c r="K132" s="6"/>
      <c r="L132" s="1"/>
      <c r="M132" s="1"/>
      <c r="N132" s="1"/>
      <c r="O132" s="1"/>
      <c r="P132" s="13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ht="13.5" customHeight="1">
      <c r="A133" s="1"/>
      <c r="B133" s="1"/>
      <c r="C133" s="3"/>
      <c r="D133" s="1"/>
      <c r="E133" s="1"/>
      <c r="F133" s="1"/>
      <c r="G133" s="1"/>
      <c r="H133" s="1"/>
      <c r="I133" s="6"/>
      <c r="J133" s="6"/>
      <c r="K133" s="6"/>
      <c r="L133" s="1"/>
      <c r="M133" s="1"/>
      <c r="N133" s="1"/>
      <c r="O133" s="1"/>
      <c r="P133" s="13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ht="13.5" customHeight="1">
      <c r="A134" s="1"/>
      <c r="B134" s="1"/>
      <c r="C134" s="3"/>
      <c r="D134" s="1"/>
      <c r="E134" s="1"/>
      <c r="F134" s="1"/>
      <c r="G134" s="1"/>
      <c r="H134" s="1"/>
      <c r="I134" s="6"/>
      <c r="J134" s="6"/>
      <c r="K134" s="6"/>
      <c r="L134" s="1"/>
      <c r="M134" s="1"/>
      <c r="N134" s="1"/>
      <c r="O134" s="1"/>
      <c r="P134" s="13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ht="13.5" customHeight="1">
      <c r="A135" s="1"/>
      <c r="B135" s="1"/>
      <c r="C135" s="3"/>
      <c r="D135" s="1"/>
      <c r="E135" s="1"/>
      <c r="F135" s="1"/>
      <c r="G135" s="1"/>
      <c r="H135" s="1"/>
      <c r="I135" s="6"/>
      <c r="J135" s="6"/>
      <c r="K135" s="6"/>
      <c r="L135" s="1"/>
      <c r="M135" s="1"/>
      <c r="N135" s="1"/>
      <c r="O135" s="1"/>
      <c r="P135" s="13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ht="13.5" customHeight="1">
      <c r="A136" s="1"/>
      <c r="B136" s="1"/>
      <c r="C136" s="3"/>
      <c r="D136" s="1"/>
      <c r="E136" s="1"/>
      <c r="F136" s="1"/>
      <c r="G136" s="1"/>
      <c r="H136" s="1"/>
      <c r="I136" s="6"/>
      <c r="J136" s="6"/>
      <c r="K136" s="6"/>
      <c r="L136" s="1"/>
      <c r="M136" s="1"/>
      <c r="N136" s="1"/>
      <c r="O136" s="1"/>
      <c r="P136" s="13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ht="13.5" customHeight="1">
      <c r="A137" s="1"/>
      <c r="B137" s="1"/>
      <c r="C137" s="3"/>
      <c r="D137" s="1"/>
      <c r="E137" s="1"/>
      <c r="F137" s="1"/>
      <c r="G137" s="1"/>
      <c r="H137" s="1"/>
      <c r="I137" s="6"/>
      <c r="J137" s="6"/>
      <c r="K137" s="6"/>
      <c r="L137" s="1"/>
      <c r="M137" s="1"/>
      <c r="N137" s="1"/>
      <c r="O137" s="1"/>
      <c r="P137" s="13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ht="13.5" customHeight="1">
      <c r="A138" s="1"/>
      <c r="B138" s="1"/>
      <c r="C138" s="3"/>
      <c r="D138" s="1"/>
      <c r="E138" s="1"/>
      <c r="F138" s="1"/>
      <c r="G138" s="1"/>
      <c r="H138" s="1"/>
      <c r="I138" s="6"/>
      <c r="J138" s="6"/>
      <c r="K138" s="6"/>
      <c r="L138" s="1"/>
      <c r="M138" s="1"/>
      <c r="N138" s="1"/>
      <c r="O138" s="1"/>
      <c r="P138" s="13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ht="13.5" customHeight="1">
      <c r="A139" s="1"/>
      <c r="B139" s="1"/>
      <c r="C139" s="3"/>
      <c r="D139" s="1"/>
      <c r="E139" s="1"/>
      <c r="F139" s="1"/>
      <c r="G139" s="1"/>
      <c r="H139" s="1"/>
      <c r="I139" s="6"/>
      <c r="J139" s="6"/>
      <c r="K139" s="6"/>
      <c r="L139" s="1"/>
      <c r="M139" s="1"/>
      <c r="N139" s="1"/>
      <c r="O139" s="1"/>
      <c r="P139" s="13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ht="13.5" customHeight="1">
      <c r="A140" s="1"/>
      <c r="B140" s="1"/>
      <c r="C140" s="3"/>
      <c r="D140" s="1"/>
      <c r="E140" s="1"/>
      <c r="F140" s="1"/>
      <c r="G140" s="1"/>
      <c r="H140" s="1"/>
      <c r="I140" s="6"/>
      <c r="J140" s="6"/>
      <c r="K140" s="6"/>
      <c r="L140" s="1"/>
      <c r="M140" s="1"/>
      <c r="N140" s="1"/>
      <c r="O140" s="1"/>
      <c r="P140" s="13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ht="13.5" customHeight="1">
      <c r="A141" s="1"/>
      <c r="B141" s="1"/>
      <c r="C141" s="3"/>
      <c r="D141" s="1"/>
      <c r="E141" s="1"/>
      <c r="F141" s="1"/>
      <c r="G141" s="1"/>
      <c r="H141" s="1"/>
      <c r="I141" s="6"/>
      <c r="J141" s="6"/>
      <c r="K141" s="6"/>
      <c r="L141" s="1"/>
      <c r="M141" s="1"/>
      <c r="N141" s="1"/>
      <c r="O141" s="1"/>
      <c r="P141" s="13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ht="13.5" customHeight="1">
      <c r="A142" s="1"/>
      <c r="B142" s="1"/>
      <c r="C142" s="3"/>
      <c r="D142" s="1"/>
      <c r="E142" s="1"/>
      <c r="F142" s="1"/>
      <c r="G142" s="1"/>
      <c r="H142" s="1"/>
      <c r="I142" s="6"/>
      <c r="J142" s="6"/>
      <c r="K142" s="6"/>
      <c r="L142" s="1"/>
      <c r="M142" s="1"/>
      <c r="N142" s="1"/>
      <c r="O142" s="1"/>
      <c r="P142" s="13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ht="13.5" customHeight="1">
      <c r="A143" s="1"/>
      <c r="B143" s="1"/>
      <c r="C143" s="3"/>
      <c r="D143" s="1"/>
      <c r="E143" s="1"/>
      <c r="F143" s="1"/>
      <c r="G143" s="1"/>
      <c r="H143" s="1"/>
      <c r="I143" s="6"/>
      <c r="J143" s="6"/>
      <c r="K143" s="6"/>
      <c r="L143" s="1"/>
      <c r="M143" s="1"/>
      <c r="N143" s="1"/>
      <c r="O143" s="1"/>
      <c r="P143" s="13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ht="13.5" customHeight="1">
      <c r="A144" s="1"/>
      <c r="B144" s="1"/>
      <c r="C144" s="3"/>
      <c r="D144" s="1"/>
      <c r="E144" s="1"/>
      <c r="F144" s="1"/>
      <c r="G144" s="1"/>
      <c r="H144" s="1"/>
      <c r="I144" s="6"/>
      <c r="J144" s="6"/>
      <c r="K144" s="6"/>
      <c r="L144" s="1"/>
      <c r="M144" s="1"/>
      <c r="N144" s="1"/>
      <c r="O144" s="1"/>
      <c r="P144" s="1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ht="13.5" customHeight="1">
      <c r="A145" s="1"/>
      <c r="B145" s="1"/>
      <c r="C145" s="3"/>
      <c r="D145" s="1"/>
      <c r="E145" s="1"/>
      <c r="F145" s="1"/>
      <c r="G145" s="1"/>
      <c r="H145" s="1"/>
      <c r="I145" s="6"/>
      <c r="J145" s="6"/>
      <c r="K145" s="6"/>
      <c r="L145" s="1"/>
      <c r="M145" s="1"/>
      <c r="N145" s="1"/>
      <c r="O145" s="1"/>
      <c r="P145" s="1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ht="13.5" customHeight="1">
      <c r="A146" s="1"/>
      <c r="B146" s="1"/>
      <c r="C146" s="3"/>
      <c r="D146" s="1"/>
      <c r="E146" s="1"/>
      <c r="F146" s="1"/>
      <c r="G146" s="1"/>
      <c r="H146" s="1"/>
      <c r="I146" s="6"/>
      <c r="J146" s="6"/>
      <c r="K146" s="6"/>
      <c r="L146" s="1"/>
      <c r="M146" s="1"/>
      <c r="N146" s="1"/>
      <c r="O146" s="1"/>
      <c r="P146" s="1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ht="13.5" customHeight="1">
      <c r="A147" s="1"/>
      <c r="B147" s="1"/>
      <c r="C147" s="3"/>
      <c r="D147" s="1"/>
      <c r="E147" s="1"/>
      <c r="F147" s="1"/>
      <c r="G147" s="1"/>
      <c r="H147" s="1"/>
      <c r="I147" s="6"/>
      <c r="J147" s="6"/>
      <c r="K147" s="6"/>
      <c r="L147" s="1"/>
      <c r="M147" s="1"/>
      <c r="N147" s="1"/>
      <c r="O147" s="1"/>
      <c r="P147" s="1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ht="13.5" customHeight="1">
      <c r="A148" s="1"/>
      <c r="B148" s="1"/>
      <c r="C148" s="3"/>
      <c r="D148" s="1"/>
      <c r="E148" s="1"/>
      <c r="F148" s="1"/>
      <c r="G148" s="1"/>
      <c r="H148" s="1"/>
      <c r="I148" s="6"/>
      <c r="J148" s="6"/>
      <c r="K148" s="6"/>
      <c r="L148" s="1"/>
      <c r="M148" s="1"/>
      <c r="N148" s="1"/>
      <c r="O148" s="1"/>
      <c r="P148" s="1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ht="13.5" customHeight="1">
      <c r="A149" s="1"/>
      <c r="B149" s="1"/>
      <c r="C149" s="3"/>
      <c r="D149" s="1"/>
      <c r="E149" s="1"/>
      <c r="F149" s="1"/>
      <c r="G149" s="1"/>
      <c r="H149" s="1"/>
      <c r="I149" s="6"/>
      <c r="J149" s="6"/>
      <c r="K149" s="6"/>
      <c r="L149" s="1"/>
      <c r="M149" s="1"/>
      <c r="N149" s="1"/>
      <c r="O149" s="1"/>
      <c r="P149" s="1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ht="13.5" customHeight="1">
      <c r="A150" s="1"/>
      <c r="B150" s="1"/>
      <c r="C150" s="3"/>
      <c r="D150" s="1"/>
      <c r="E150" s="1"/>
      <c r="F150" s="1"/>
      <c r="G150" s="1"/>
      <c r="H150" s="1"/>
      <c r="I150" s="6"/>
      <c r="J150" s="6"/>
      <c r="K150" s="6"/>
      <c r="L150" s="1"/>
      <c r="M150" s="1"/>
      <c r="N150" s="1"/>
      <c r="O150" s="1"/>
      <c r="P150" s="1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ht="13.5" customHeight="1">
      <c r="A151" s="1"/>
      <c r="B151" s="1"/>
      <c r="C151" s="3"/>
      <c r="D151" s="1"/>
      <c r="E151" s="1"/>
      <c r="F151" s="1"/>
      <c r="G151" s="1"/>
      <c r="H151" s="1"/>
      <c r="I151" s="6"/>
      <c r="J151" s="6"/>
      <c r="K151" s="6"/>
      <c r="L151" s="1"/>
      <c r="M151" s="1"/>
      <c r="N151" s="1"/>
      <c r="O151" s="1"/>
      <c r="P151" s="1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ht="13.5" customHeight="1">
      <c r="A152" s="1"/>
      <c r="B152" s="1"/>
      <c r="C152" s="3"/>
      <c r="D152" s="1"/>
      <c r="E152" s="1"/>
      <c r="F152" s="1"/>
      <c r="G152" s="1"/>
      <c r="H152" s="1"/>
      <c r="I152" s="6"/>
      <c r="J152" s="6"/>
      <c r="K152" s="6"/>
      <c r="L152" s="1"/>
      <c r="M152" s="1"/>
      <c r="N152" s="1"/>
      <c r="O152" s="1"/>
      <c r="P152" s="1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ht="13.5" customHeight="1">
      <c r="A153" s="1"/>
      <c r="B153" s="1"/>
      <c r="C153" s="3"/>
      <c r="D153" s="1"/>
      <c r="E153" s="1"/>
      <c r="F153" s="1"/>
      <c r="G153" s="1"/>
      <c r="H153" s="1"/>
      <c r="I153" s="6"/>
      <c r="J153" s="6"/>
      <c r="K153" s="6"/>
      <c r="L153" s="1"/>
      <c r="M153" s="1"/>
      <c r="N153" s="1"/>
      <c r="O153" s="1"/>
      <c r="P153" s="1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ht="13.5" customHeight="1">
      <c r="A154" s="1"/>
      <c r="B154" s="1"/>
      <c r="C154" s="3"/>
      <c r="D154" s="1"/>
      <c r="E154" s="1"/>
      <c r="F154" s="1"/>
      <c r="G154" s="1"/>
      <c r="H154" s="1"/>
      <c r="I154" s="6"/>
      <c r="J154" s="6"/>
      <c r="K154" s="6"/>
      <c r="L154" s="1"/>
      <c r="M154" s="1"/>
      <c r="N154" s="1"/>
      <c r="O154" s="1"/>
      <c r="P154" s="1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ht="13.5" customHeight="1">
      <c r="A155" s="1"/>
      <c r="B155" s="1"/>
      <c r="C155" s="3"/>
      <c r="D155" s="1"/>
      <c r="E155" s="1"/>
      <c r="F155" s="1"/>
      <c r="G155" s="1"/>
      <c r="H155" s="1"/>
      <c r="I155" s="6"/>
      <c r="J155" s="6"/>
      <c r="K155" s="6"/>
      <c r="L155" s="1"/>
      <c r="M155" s="1"/>
      <c r="N155" s="1"/>
      <c r="O155" s="1"/>
      <c r="P155" s="1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ht="13.5" customHeight="1">
      <c r="A156" s="1"/>
      <c r="B156" s="1"/>
      <c r="C156" s="3"/>
      <c r="D156" s="1"/>
      <c r="E156" s="1"/>
      <c r="F156" s="1"/>
      <c r="G156" s="1"/>
      <c r="H156" s="1"/>
      <c r="I156" s="6"/>
      <c r="J156" s="6"/>
      <c r="K156" s="6"/>
      <c r="L156" s="1"/>
      <c r="M156" s="1"/>
      <c r="N156" s="1"/>
      <c r="O156" s="1"/>
      <c r="P156" s="1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ht="13.5" customHeight="1">
      <c r="A157" s="1"/>
      <c r="B157" s="1"/>
      <c r="C157" s="3"/>
      <c r="D157" s="1"/>
      <c r="E157" s="1"/>
      <c r="F157" s="1"/>
      <c r="G157" s="1"/>
      <c r="H157" s="1"/>
      <c r="I157" s="6"/>
      <c r="J157" s="6"/>
      <c r="K157" s="6"/>
      <c r="L157" s="1"/>
      <c r="M157" s="1"/>
      <c r="N157" s="1"/>
      <c r="O157" s="1"/>
      <c r="P157" s="1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ht="13.5" customHeight="1">
      <c r="A158" s="1"/>
      <c r="B158" s="1"/>
      <c r="C158" s="3"/>
      <c r="D158" s="1"/>
      <c r="E158" s="1"/>
      <c r="F158" s="1"/>
      <c r="G158" s="1"/>
      <c r="H158" s="1"/>
      <c r="I158" s="6"/>
      <c r="J158" s="6"/>
      <c r="K158" s="6"/>
      <c r="L158" s="1"/>
      <c r="M158" s="1"/>
      <c r="N158" s="1"/>
      <c r="O158" s="1"/>
      <c r="P158" s="1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ht="13.5" customHeight="1">
      <c r="A159" s="1"/>
      <c r="B159" s="1"/>
      <c r="C159" s="3"/>
      <c r="D159" s="1"/>
      <c r="E159" s="1"/>
      <c r="F159" s="1"/>
      <c r="G159" s="1"/>
      <c r="H159" s="1"/>
      <c r="I159" s="6"/>
      <c r="J159" s="6"/>
      <c r="K159" s="6"/>
      <c r="L159" s="1"/>
      <c r="M159" s="1"/>
      <c r="N159" s="1"/>
      <c r="O159" s="1"/>
      <c r="P159" s="1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ht="13.5" customHeight="1">
      <c r="A160" s="1"/>
      <c r="B160" s="1"/>
      <c r="C160" s="3"/>
      <c r="D160" s="1"/>
      <c r="E160" s="1"/>
      <c r="F160" s="1"/>
      <c r="G160" s="1"/>
      <c r="H160" s="1"/>
      <c r="I160" s="6"/>
      <c r="J160" s="6"/>
      <c r="K160" s="6"/>
      <c r="L160" s="1"/>
      <c r="M160" s="1"/>
      <c r="N160" s="1"/>
      <c r="O160" s="1"/>
      <c r="P160" s="1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ht="13.5" customHeight="1">
      <c r="A161" s="1"/>
      <c r="B161" s="1"/>
      <c r="C161" s="3"/>
      <c r="D161" s="1"/>
      <c r="E161" s="1"/>
      <c r="F161" s="1"/>
      <c r="G161" s="1"/>
      <c r="H161" s="1"/>
      <c r="I161" s="6"/>
      <c r="J161" s="6"/>
      <c r="K161" s="6"/>
      <c r="L161" s="1"/>
      <c r="M161" s="1"/>
      <c r="N161" s="1"/>
      <c r="O161" s="1"/>
      <c r="P161" s="1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ht="13.5" customHeight="1">
      <c r="A162" s="1"/>
      <c r="B162" s="1"/>
      <c r="C162" s="3"/>
      <c r="D162" s="1"/>
      <c r="E162" s="1"/>
      <c r="F162" s="1"/>
      <c r="G162" s="1"/>
      <c r="H162" s="1"/>
      <c r="I162" s="6"/>
      <c r="J162" s="6"/>
      <c r="K162" s="6"/>
      <c r="L162" s="1"/>
      <c r="M162" s="1"/>
      <c r="N162" s="1"/>
      <c r="O162" s="1"/>
      <c r="P162" s="1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ht="13.5" customHeight="1">
      <c r="A163" s="1"/>
      <c r="B163" s="1"/>
      <c r="C163" s="3"/>
      <c r="D163" s="1"/>
      <c r="E163" s="1"/>
      <c r="F163" s="1"/>
      <c r="G163" s="1"/>
      <c r="H163" s="1"/>
      <c r="I163" s="6"/>
      <c r="J163" s="6"/>
      <c r="K163" s="6"/>
      <c r="L163" s="1"/>
      <c r="M163" s="1"/>
      <c r="N163" s="1"/>
      <c r="O163" s="1"/>
      <c r="P163" s="1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ht="13.5" customHeight="1">
      <c r="A164" s="1"/>
      <c r="B164" s="1"/>
      <c r="C164" s="3"/>
      <c r="D164" s="1"/>
      <c r="E164" s="1"/>
      <c r="F164" s="1"/>
      <c r="G164" s="1"/>
      <c r="H164" s="1"/>
      <c r="I164" s="6"/>
      <c r="J164" s="6"/>
      <c r="K164" s="6"/>
      <c r="L164" s="1"/>
      <c r="M164" s="1"/>
      <c r="N164" s="1"/>
      <c r="O164" s="1"/>
      <c r="P164" s="1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ht="13.5" customHeight="1">
      <c r="A165" s="1"/>
      <c r="B165" s="1"/>
      <c r="C165" s="3"/>
      <c r="D165" s="1"/>
      <c r="E165" s="1"/>
      <c r="F165" s="1"/>
      <c r="G165" s="1"/>
      <c r="H165" s="1"/>
      <c r="I165" s="6"/>
      <c r="J165" s="6"/>
      <c r="K165" s="6"/>
      <c r="L165" s="1"/>
      <c r="M165" s="1"/>
      <c r="N165" s="1"/>
      <c r="O165" s="1"/>
      <c r="P165" s="1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ht="13.5" customHeight="1">
      <c r="A166" s="1"/>
      <c r="B166" s="1"/>
      <c r="C166" s="3"/>
      <c r="D166" s="1"/>
      <c r="E166" s="1"/>
      <c r="F166" s="1"/>
      <c r="G166" s="1"/>
      <c r="H166" s="1"/>
      <c r="I166" s="6"/>
      <c r="J166" s="6"/>
      <c r="K166" s="6"/>
      <c r="L166" s="1"/>
      <c r="M166" s="1"/>
      <c r="N166" s="1"/>
      <c r="O166" s="1"/>
      <c r="P166" s="1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ht="13.5" customHeight="1">
      <c r="A167" s="1"/>
      <c r="B167" s="1"/>
      <c r="C167" s="3"/>
      <c r="D167" s="1"/>
      <c r="E167" s="1"/>
      <c r="F167" s="1"/>
      <c r="G167" s="1"/>
      <c r="H167" s="1"/>
      <c r="I167" s="6"/>
      <c r="J167" s="6"/>
      <c r="K167" s="6"/>
      <c r="L167" s="1"/>
      <c r="M167" s="1"/>
      <c r="N167" s="1"/>
      <c r="O167" s="1"/>
      <c r="P167" s="1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ht="13.5" customHeight="1">
      <c r="A168" s="1"/>
      <c r="B168" s="1"/>
      <c r="C168" s="3"/>
      <c r="D168" s="1"/>
      <c r="E168" s="1"/>
      <c r="F168" s="1"/>
      <c r="G168" s="1"/>
      <c r="H168" s="1"/>
      <c r="I168" s="6"/>
      <c r="J168" s="6"/>
      <c r="K168" s="6"/>
      <c r="L168" s="1"/>
      <c r="M168" s="1"/>
      <c r="N168" s="1"/>
      <c r="O168" s="1"/>
      <c r="P168" s="1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ht="13.5" customHeight="1">
      <c r="A169" s="1"/>
      <c r="B169" s="1"/>
      <c r="C169" s="3"/>
      <c r="D169" s="1"/>
      <c r="E169" s="1"/>
      <c r="F169" s="1"/>
      <c r="G169" s="1"/>
      <c r="H169" s="1"/>
      <c r="I169" s="6"/>
      <c r="J169" s="6"/>
      <c r="K169" s="6"/>
      <c r="L169" s="1"/>
      <c r="M169" s="1"/>
      <c r="N169" s="1"/>
      <c r="O169" s="1"/>
      <c r="P169" s="1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ht="13.5" customHeight="1">
      <c r="A170" s="1"/>
      <c r="B170" s="1"/>
      <c r="C170" s="3"/>
      <c r="D170" s="1"/>
      <c r="E170" s="1"/>
      <c r="F170" s="1"/>
      <c r="G170" s="1"/>
      <c r="H170" s="1"/>
      <c r="I170" s="6"/>
      <c r="J170" s="6"/>
      <c r="K170" s="6"/>
      <c r="L170" s="1"/>
      <c r="M170" s="1"/>
      <c r="N170" s="1"/>
      <c r="O170" s="1"/>
      <c r="P170" s="1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ht="13.5" customHeight="1">
      <c r="A171" s="1"/>
      <c r="B171" s="1"/>
      <c r="C171" s="3"/>
      <c r="D171" s="1"/>
      <c r="E171" s="1"/>
      <c r="F171" s="1"/>
      <c r="G171" s="1"/>
      <c r="H171" s="1"/>
      <c r="I171" s="6"/>
      <c r="J171" s="6"/>
      <c r="K171" s="6"/>
      <c r="L171" s="1"/>
      <c r="M171" s="1"/>
      <c r="N171" s="1"/>
      <c r="O171" s="1"/>
      <c r="P171" s="13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ht="13.5" customHeight="1">
      <c r="A172" s="1"/>
      <c r="B172" s="1"/>
      <c r="C172" s="3"/>
      <c r="D172" s="1"/>
      <c r="E172" s="1"/>
      <c r="F172" s="1"/>
      <c r="G172" s="1"/>
      <c r="H172" s="1"/>
      <c r="I172" s="6"/>
      <c r="J172" s="6"/>
      <c r="K172" s="6"/>
      <c r="L172" s="1"/>
      <c r="M172" s="1"/>
      <c r="N172" s="1"/>
      <c r="O172" s="1"/>
      <c r="P172" s="13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ht="13.5" customHeight="1">
      <c r="A173" s="1"/>
      <c r="B173" s="1"/>
      <c r="C173" s="3"/>
      <c r="D173" s="1"/>
      <c r="E173" s="1"/>
      <c r="F173" s="1"/>
      <c r="G173" s="1"/>
      <c r="H173" s="1"/>
      <c r="I173" s="6"/>
      <c r="J173" s="6"/>
      <c r="K173" s="6"/>
      <c r="L173" s="1"/>
      <c r="M173" s="1"/>
      <c r="N173" s="1"/>
      <c r="O173" s="1"/>
      <c r="P173" s="1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ht="13.5" customHeight="1">
      <c r="A174" s="1"/>
      <c r="B174" s="1"/>
      <c r="C174" s="3"/>
      <c r="D174" s="1"/>
      <c r="E174" s="1"/>
      <c r="F174" s="1"/>
      <c r="G174" s="1"/>
      <c r="H174" s="1"/>
      <c r="I174" s="6"/>
      <c r="J174" s="6"/>
      <c r="K174" s="6"/>
      <c r="L174" s="1"/>
      <c r="M174" s="1"/>
      <c r="N174" s="1"/>
      <c r="O174" s="1"/>
      <c r="P174" s="1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ht="13.5" customHeight="1">
      <c r="A175" s="1"/>
      <c r="B175" s="1"/>
      <c r="C175" s="3"/>
      <c r="D175" s="1"/>
      <c r="E175" s="1"/>
      <c r="F175" s="1"/>
      <c r="G175" s="1"/>
      <c r="H175" s="1"/>
      <c r="I175" s="6"/>
      <c r="J175" s="6"/>
      <c r="K175" s="6"/>
      <c r="L175" s="1"/>
      <c r="M175" s="1"/>
      <c r="N175" s="1"/>
      <c r="O175" s="1"/>
      <c r="P175" s="1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ht="13.5" customHeight="1">
      <c r="A176" s="1"/>
      <c r="B176" s="1"/>
      <c r="C176" s="3"/>
      <c r="D176" s="1"/>
      <c r="E176" s="1"/>
      <c r="F176" s="1"/>
      <c r="G176" s="1"/>
      <c r="H176" s="1"/>
      <c r="I176" s="6"/>
      <c r="J176" s="6"/>
      <c r="K176" s="6"/>
      <c r="L176" s="1"/>
      <c r="M176" s="1"/>
      <c r="N176" s="1"/>
      <c r="O176" s="1"/>
      <c r="P176" s="1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ht="13.5" customHeight="1">
      <c r="A177" s="1"/>
      <c r="B177" s="1"/>
      <c r="C177" s="3"/>
      <c r="D177" s="1"/>
      <c r="E177" s="1"/>
      <c r="F177" s="1"/>
      <c r="G177" s="1"/>
      <c r="H177" s="1"/>
      <c r="I177" s="6"/>
      <c r="J177" s="6"/>
      <c r="K177" s="6"/>
      <c r="L177" s="1"/>
      <c r="M177" s="1"/>
      <c r="N177" s="1"/>
      <c r="O177" s="1"/>
      <c r="P177" s="1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ht="13.5" customHeight="1">
      <c r="A178" s="1"/>
      <c r="B178" s="1"/>
      <c r="C178" s="3"/>
      <c r="D178" s="1"/>
      <c r="E178" s="1"/>
      <c r="F178" s="1"/>
      <c r="G178" s="1"/>
      <c r="H178" s="1"/>
      <c r="I178" s="6"/>
      <c r="J178" s="6"/>
      <c r="K178" s="6"/>
      <c r="L178" s="1"/>
      <c r="M178" s="1"/>
      <c r="N178" s="1"/>
      <c r="O178" s="1"/>
      <c r="P178" s="1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ht="13.5" customHeight="1">
      <c r="A179" s="1"/>
      <c r="B179" s="1"/>
      <c r="C179" s="3"/>
      <c r="D179" s="1"/>
      <c r="E179" s="1"/>
      <c r="F179" s="1"/>
      <c r="G179" s="1"/>
      <c r="H179" s="1"/>
      <c r="I179" s="6"/>
      <c r="J179" s="6"/>
      <c r="K179" s="6"/>
      <c r="L179" s="1"/>
      <c r="M179" s="1"/>
      <c r="N179" s="1"/>
      <c r="O179" s="1"/>
      <c r="P179" s="1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ht="13.5" customHeight="1">
      <c r="A180" s="1"/>
      <c r="B180" s="1"/>
      <c r="C180" s="3"/>
      <c r="D180" s="1"/>
      <c r="E180" s="1"/>
      <c r="F180" s="1"/>
      <c r="G180" s="1"/>
      <c r="H180" s="1"/>
      <c r="I180" s="6"/>
      <c r="J180" s="6"/>
      <c r="K180" s="6"/>
      <c r="L180" s="1"/>
      <c r="M180" s="1"/>
      <c r="N180" s="1"/>
      <c r="O180" s="1"/>
      <c r="P180" s="13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ht="13.5" customHeight="1">
      <c r="A181" s="1"/>
      <c r="B181" s="1"/>
      <c r="C181" s="3"/>
      <c r="D181" s="1"/>
      <c r="E181" s="1"/>
      <c r="F181" s="1"/>
      <c r="G181" s="1"/>
      <c r="H181" s="1"/>
      <c r="I181" s="6"/>
      <c r="J181" s="6"/>
      <c r="K181" s="6"/>
      <c r="L181" s="1"/>
      <c r="M181" s="1"/>
      <c r="N181" s="1"/>
      <c r="O181" s="1"/>
      <c r="P181" s="13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ht="13.5" customHeight="1">
      <c r="A182" s="1"/>
      <c r="B182" s="1"/>
      <c r="C182" s="3"/>
      <c r="D182" s="1"/>
      <c r="E182" s="1"/>
      <c r="F182" s="1"/>
      <c r="G182" s="1"/>
      <c r="H182" s="1"/>
      <c r="I182" s="6"/>
      <c r="J182" s="6"/>
      <c r="K182" s="6"/>
      <c r="L182" s="1"/>
      <c r="M182" s="1"/>
      <c r="N182" s="1"/>
      <c r="O182" s="1"/>
      <c r="P182" s="13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ht="13.5" customHeight="1">
      <c r="A183" s="1"/>
      <c r="B183" s="1"/>
      <c r="C183" s="3"/>
      <c r="D183" s="1"/>
      <c r="E183" s="1"/>
      <c r="F183" s="1"/>
      <c r="G183" s="1"/>
      <c r="H183" s="1"/>
      <c r="I183" s="6"/>
      <c r="J183" s="6"/>
      <c r="K183" s="6"/>
      <c r="L183" s="1"/>
      <c r="M183" s="1"/>
      <c r="N183" s="1"/>
      <c r="O183" s="1"/>
      <c r="P183" s="13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ht="13.5" customHeight="1">
      <c r="A184" s="1"/>
      <c r="B184" s="1"/>
      <c r="C184" s="3"/>
      <c r="D184" s="1"/>
      <c r="E184" s="1"/>
      <c r="F184" s="1"/>
      <c r="G184" s="1"/>
      <c r="H184" s="1"/>
      <c r="I184" s="6"/>
      <c r="J184" s="6"/>
      <c r="K184" s="6"/>
      <c r="L184" s="1"/>
      <c r="M184" s="1"/>
      <c r="N184" s="1"/>
      <c r="O184" s="1"/>
      <c r="P184" s="13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ht="13.5" customHeight="1">
      <c r="A185" s="1"/>
      <c r="B185" s="1"/>
      <c r="C185" s="3"/>
      <c r="D185" s="1"/>
      <c r="E185" s="1"/>
      <c r="F185" s="1"/>
      <c r="G185" s="1"/>
      <c r="H185" s="1"/>
      <c r="I185" s="6"/>
      <c r="J185" s="6"/>
      <c r="K185" s="6"/>
      <c r="L185" s="1"/>
      <c r="M185" s="1"/>
      <c r="N185" s="1"/>
      <c r="O185" s="1"/>
      <c r="P185" s="13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ht="13.5" customHeight="1">
      <c r="A186" s="1"/>
      <c r="B186" s="1"/>
      <c r="C186" s="3"/>
      <c r="D186" s="1"/>
      <c r="E186" s="1"/>
      <c r="F186" s="1"/>
      <c r="G186" s="1"/>
      <c r="H186" s="1"/>
      <c r="I186" s="6"/>
      <c r="J186" s="6"/>
      <c r="K186" s="6"/>
      <c r="L186" s="1"/>
      <c r="M186" s="1"/>
      <c r="N186" s="1"/>
      <c r="O186" s="1"/>
      <c r="P186" s="13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ht="13.5" customHeight="1">
      <c r="A187" s="1"/>
      <c r="B187" s="1"/>
      <c r="C187" s="3"/>
      <c r="D187" s="1"/>
      <c r="E187" s="1"/>
      <c r="F187" s="1"/>
      <c r="G187" s="1"/>
      <c r="H187" s="1"/>
      <c r="I187" s="6"/>
      <c r="J187" s="6"/>
      <c r="K187" s="6"/>
      <c r="L187" s="1"/>
      <c r="M187" s="1"/>
      <c r="N187" s="1"/>
      <c r="O187" s="1"/>
      <c r="P187" s="1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ht="13.5" customHeight="1">
      <c r="A188" s="1"/>
      <c r="B188" s="1"/>
      <c r="C188" s="3"/>
      <c r="D188" s="1"/>
      <c r="E188" s="1"/>
      <c r="F188" s="1"/>
      <c r="G188" s="1"/>
      <c r="H188" s="1"/>
      <c r="I188" s="6"/>
      <c r="J188" s="6"/>
      <c r="K188" s="6"/>
      <c r="L188" s="1"/>
      <c r="M188" s="1"/>
      <c r="N188" s="1"/>
      <c r="O188" s="1"/>
      <c r="P188" s="13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ht="13.5" customHeight="1">
      <c r="A189" s="1"/>
      <c r="B189" s="1"/>
      <c r="C189" s="3"/>
      <c r="D189" s="1"/>
      <c r="E189" s="1"/>
      <c r="F189" s="1"/>
      <c r="G189" s="1"/>
      <c r="H189" s="1"/>
      <c r="I189" s="6"/>
      <c r="J189" s="6"/>
      <c r="K189" s="6"/>
      <c r="L189" s="1"/>
      <c r="M189" s="1"/>
      <c r="N189" s="1"/>
      <c r="O189" s="1"/>
      <c r="P189" s="13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ht="13.5" customHeight="1">
      <c r="A190" s="1"/>
      <c r="B190" s="1"/>
      <c r="C190" s="3"/>
      <c r="D190" s="1"/>
      <c r="E190" s="1"/>
      <c r="F190" s="1"/>
      <c r="G190" s="1"/>
      <c r="H190" s="1"/>
      <c r="I190" s="6"/>
      <c r="J190" s="6"/>
      <c r="K190" s="6"/>
      <c r="L190" s="1"/>
      <c r="M190" s="1"/>
      <c r="N190" s="1"/>
      <c r="O190" s="1"/>
      <c r="P190" s="13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ht="13.5" customHeight="1">
      <c r="A191" s="1"/>
      <c r="B191" s="1"/>
      <c r="C191" s="3"/>
      <c r="D191" s="1"/>
      <c r="E191" s="1"/>
      <c r="F191" s="1"/>
      <c r="G191" s="1"/>
      <c r="H191" s="1"/>
      <c r="I191" s="6"/>
      <c r="J191" s="6"/>
      <c r="K191" s="6"/>
      <c r="L191" s="1"/>
      <c r="M191" s="1"/>
      <c r="N191" s="1"/>
      <c r="O191" s="1"/>
      <c r="P191" s="13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ht="13.5" customHeight="1">
      <c r="A192" s="1"/>
      <c r="B192" s="1"/>
      <c r="C192" s="3"/>
      <c r="D192" s="1"/>
      <c r="E192" s="1"/>
      <c r="F192" s="1"/>
      <c r="G192" s="1"/>
      <c r="H192" s="1"/>
      <c r="I192" s="6"/>
      <c r="J192" s="6"/>
      <c r="K192" s="6"/>
      <c r="L192" s="1"/>
      <c r="M192" s="1"/>
      <c r="N192" s="1"/>
      <c r="O192" s="1"/>
      <c r="P192" s="13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ht="13.5" customHeight="1">
      <c r="A193" s="1"/>
      <c r="B193" s="1"/>
      <c r="C193" s="3"/>
      <c r="D193" s="1"/>
      <c r="E193" s="1"/>
      <c r="F193" s="1"/>
      <c r="G193" s="1"/>
      <c r="H193" s="1"/>
      <c r="I193" s="6"/>
      <c r="J193" s="6"/>
      <c r="K193" s="6"/>
      <c r="L193" s="1"/>
      <c r="M193" s="1"/>
      <c r="N193" s="1"/>
      <c r="O193" s="1"/>
      <c r="P193" s="13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ht="13.5" customHeight="1">
      <c r="A194" s="1"/>
      <c r="B194" s="1"/>
      <c r="C194" s="3"/>
      <c r="D194" s="1"/>
      <c r="E194" s="1"/>
      <c r="F194" s="1"/>
      <c r="G194" s="1"/>
      <c r="H194" s="1"/>
      <c r="I194" s="6"/>
      <c r="J194" s="6"/>
      <c r="K194" s="6"/>
      <c r="L194" s="1"/>
      <c r="M194" s="1"/>
      <c r="N194" s="1"/>
      <c r="O194" s="1"/>
      <c r="P194" s="1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ht="13.5" customHeight="1">
      <c r="A195" s="1"/>
      <c r="B195" s="1"/>
      <c r="C195" s="3"/>
      <c r="D195" s="1"/>
      <c r="E195" s="1"/>
      <c r="F195" s="1"/>
      <c r="G195" s="1"/>
      <c r="H195" s="1"/>
      <c r="I195" s="6"/>
      <c r="J195" s="6"/>
      <c r="K195" s="6"/>
      <c r="L195" s="1"/>
      <c r="M195" s="1"/>
      <c r="N195" s="1"/>
      <c r="O195" s="1"/>
      <c r="P195" s="13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ht="13.5" customHeight="1">
      <c r="A196" s="1"/>
      <c r="B196" s="1"/>
      <c r="C196" s="3"/>
      <c r="D196" s="1"/>
      <c r="E196" s="1"/>
      <c r="F196" s="1"/>
      <c r="G196" s="1"/>
      <c r="H196" s="1"/>
      <c r="I196" s="6"/>
      <c r="J196" s="6"/>
      <c r="K196" s="6"/>
      <c r="L196" s="1"/>
      <c r="M196" s="1"/>
      <c r="N196" s="1"/>
      <c r="O196" s="1"/>
      <c r="P196" s="13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ht="13.5" customHeight="1">
      <c r="A197" s="1"/>
      <c r="B197" s="1"/>
      <c r="C197" s="3"/>
      <c r="D197" s="1"/>
      <c r="E197" s="1"/>
      <c r="F197" s="1"/>
      <c r="G197" s="1"/>
      <c r="H197" s="1"/>
      <c r="I197" s="6"/>
      <c r="J197" s="6"/>
      <c r="K197" s="6"/>
      <c r="L197" s="1"/>
      <c r="M197" s="1"/>
      <c r="N197" s="1"/>
      <c r="O197" s="1"/>
      <c r="P197" s="1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ht="13.5" customHeight="1">
      <c r="A198" s="1"/>
      <c r="B198" s="1"/>
      <c r="C198" s="3"/>
      <c r="D198" s="1"/>
      <c r="E198" s="1"/>
      <c r="F198" s="1"/>
      <c r="G198" s="1"/>
      <c r="H198" s="1"/>
      <c r="I198" s="6"/>
      <c r="J198" s="6"/>
      <c r="K198" s="6"/>
      <c r="L198" s="1"/>
      <c r="M198" s="1"/>
      <c r="N198" s="1"/>
      <c r="O198" s="1"/>
      <c r="P198" s="13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ht="13.5" customHeight="1">
      <c r="A199" s="1"/>
      <c r="B199" s="1"/>
      <c r="C199" s="3"/>
      <c r="D199" s="1"/>
      <c r="E199" s="1"/>
      <c r="F199" s="1"/>
      <c r="G199" s="1"/>
      <c r="H199" s="1"/>
      <c r="I199" s="6"/>
      <c r="J199" s="6"/>
      <c r="K199" s="6"/>
      <c r="L199" s="1"/>
      <c r="M199" s="1"/>
      <c r="N199" s="1"/>
      <c r="O199" s="1"/>
      <c r="P199" s="13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ht="13.5" customHeight="1">
      <c r="A200" s="1"/>
      <c r="B200" s="1"/>
      <c r="C200" s="3"/>
      <c r="D200" s="1"/>
      <c r="E200" s="1"/>
      <c r="F200" s="1"/>
      <c r="G200" s="1"/>
      <c r="H200" s="1"/>
      <c r="I200" s="6"/>
      <c r="J200" s="6"/>
      <c r="K200" s="6"/>
      <c r="L200" s="1"/>
      <c r="M200" s="1"/>
      <c r="N200" s="1"/>
      <c r="O200" s="1"/>
      <c r="P200" s="13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ht="13.5" customHeight="1">
      <c r="A201" s="1"/>
      <c r="B201" s="1"/>
      <c r="C201" s="3"/>
      <c r="D201" s="1"/>
      <c r="E201" s="1"/>
      <c r="F201" s="1"/>
      <c r="G201" s="1"/>
      <c r="H201" s="1"/>
      <c r="I201" s="6"/>
      <c r="J201" s="6"/>
      <c r="K201" s="6"/>
      <c r="L201" s="1"/>
      <c r="M201" s="1"/>
      <c r="N201" s="1"/>
      <c r="O201" s="1"/>
      <c r="P201" s="1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ht="13.5" customHeight="1">
      <c r="A202" s="1"/>
      <c r="B202" s="1"/>
      <c r="C202" s="3"/>
      <c r="D202" s="1"/>
      <c r="E202" s="1"/>
      <c r="F202" s="1"/>
      <c r="G202" s="1"/>
      <c r="H202" s="1"/>
      <c r="I202" s="6"/>
      <c r="J202" s="6"/>
      <c r="K202" s="6"/>
      <c r="L202" s="1"/>
      <c r="M202" s="1"/>
      <c r="N202" s="1"/>
      <c r="O202" s="1"/>
      <c r="P202" s="13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ht="13.5" customHeight="1">
      <c r="A203" s="1"/>
      <c r="B203" s="1"/>
      <c r="C203" s="3"/>
      <c r="D203" s="1"/>
      <c r="E203" s="1"/>
      <c r="F203" s="1"/>
      <c r="G203" s="1"/>
      <c r="H203" s="1"/>
      <c r="I203" s="6"/>
      <c r="J203" s="6"/>
      <c r="K203" s="6"/>
      <c r="L203" s="1"/>
      <c r="M203" s="1"/>
      <c r="N203" s="1"/>
      <c r="O203" s="1"/>
      <c r="P203" s="13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ht="13.5" customHeight="1">
      <c r="A204" s="1"/>
      <c r="B204" s="1"/>
      <c r="C204" s="3"/>
      <c r="D204" s="1"/>
      <c r="E204" s="1"/>
      <c r="F204" s="1"/>
      <c r="G204" s="1"/>
      <c r="H204" s="1"/>
      <c r="I204" s="6"/>
      <c r="J204" s="6"/>
      <c r="K204" s="6"/>
      <c r="L204" s="1"/>
      <c r="M204" s="1"/>
      <c r="N204" s="1"/>
      <c r="O204" s="1"/>
      <c r="P204" s="13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ht="13.5" customHeight="1">
      <c r="A205" s="1"/>
      <c r="B205" s="1"/>
      <c r="C205" s="3"/>
      <c r="D205" s="1"/>
      <c r="E205" s="1"/>
      <c r="F205" s="1"/>
      <c r="G205" s="1"/>
      <c r="H205" s="1"/>
      <c r="I205" s="6"/>
      <c r="J205" s="6"/>
      <c r="K205" s="6"/>
      <c r="L205" s="1"/>
      <c r="M205" s="1"/>
      <c r="N205" s="1"/>
      <c r="O205" s="1"/>
      <c r="P205" s="13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ht="13.5" customHeight="1">
      <c r="A206" s="1"/>
      <c r="B206" s="1"/>
      <c r="C206" s="3"/>
      <c r="D206" s="1"/>
      <c r="E206" s="1"/>
      <c r="F206" s="1"/>
      <c r="G206" s="1"/>
      <c r="H206" s="1"/>
      <c r="I206" s="6"/>
      <c r="J206" s="6"/>
      <c r="K206" s="6"/>
      <c r="L206" s="1"/>
      <c r="M206" s="1"/>
      <c r="N206" s="1"/>
      <c r="O206" s="1"/>
      <c r="P206" s="1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ht="13.5" customHeight="1">
      <c r="A207" s="1"/>
      <c r="B207" s="1"/>
      <c r="C207" s="3"/>
      <c r="D207" s="1"/>
      <c r="E207" s="1"/>
      <c r="F207" s="1"/>
      <c r="G207" s="1"/>
      <c r="H207" s="1"/>
      <c r="I207" s="6"/>
      <c r="J207" s="6"/>
      <c r="K207" s="6"/>
      <c r="L207" s="1"/>
      <c r="M207" s="1"/>
      <c r="N207" s="1"/>
      <c r="O207" s="1"/>
      <c r="P207" s="1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ht="13.5" customHeight="1">
      <c r="A208" s="1"/>
      <c r="B208" s="1"/>
      <c r="C208" s="3"/>
      <c r="D208" s="1"/>
      <c r="E208" s="1"/>
      <c r="F208" s="1"/>
      <c r="G208" s="1"/>
      <c r="H208" s="1"/>
      <c r="I208" s="6"/>
      <c r="J208" s="6"/>
      <c r="K208" s="6"/>
      <c r="L208" s="1"/>
      <c r="M208" s="1"/>
      <c r="N208" s="1"/>
      <c r="O208" s="1"/>
      <c r="P208" s="13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ht="13.5" customHeight="1">
      <c r="A209" s="1"/>
      <c r="B209" s="1"/>
      <c r="C209" s="3"/>
      <c r="D209" s="1"/>
      <c r="E209" s="1"/>
      <c r="F209" s="1"/>
      <c r="G209" s="1"/>
      <c r="H209" s="1"/>
      <c r="I209" s="6"/>
      <c r="J209" s="6"/>
      <c r="K209" s="6"/>
      <c r="L209" s="1"/>
      <c r="M209" s="1"/>
      <c r="N209" s="1"/>
      <c r="O209" s="1"/>
      <c r="P209" s="13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ht="13.5" customHeight="1">
      <c r="A210" s="1"/>
      <c r="B210" s="1"/>
      <c r="C210" s="3"/>
      <c r="D210" s="1"/>
      <c r="E210" s="1"/>
      <c r="F210" s="1"/>
      <c r="G210" s="1"/>
      <c r="H210" s="1"/>
      <c r="I210" s="6"/>
      <c r="J210" s="6"/>
      <c r="K210" s="6"/>
      <c r="L210" s="1"/>
      <c r="M210" s="1"/>
      <c r="N210" s="1"/>
      <c r="O210" s="1"/>
      <c r="P210" s="13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ht="13.5" customHeight="1">
      <c r="A211" s="1"/>
      <c r="B211" s="1"/>
      <c r="C211" s="3"/>
      <c r="D211" s="1"/>
      <c r="E211" s="1"/>
      <c r="F211" s="1"/>
      <c r="G211" s="1"/>
      <c r="H211" s="1"/>
      <c r="I211" s="6"/>
      <c r="J211" s="6"/>
      <c r="K211" s="6"/>
      <c r="L211" s="1"/>
      <c r="M211" s="1"/>
      <c r="N211" s="1"/>
      <c r="O211" s="1"/>
      <c r="P211" s="13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ht="13.5" customHeight="1">
      <c r="A212" s="1"/>
      <c r="B212" s="1"/>
      <c r="C212" s="3"/>
      <c r="D212" s="1"/>
      <c r="E212" s="1"/>
      <c r="F212" s="1"/>
      <c r="G212" s="1"/>
      <c r="H212" s="1"/>
      <c r="I212" s="6"/>
      <c r="J212" s="6"/>
      <c r="K212" s="6"/>
      <c r="L212" s="1"/>
      <c r="M212" s="1"/>
      <c r="N212" s="1"/>
      <c r="O212" s="1"/>
      <c r="P212" s="1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ht="13.5" customHeight="1">
      <c r="A213" s="1"/>
      <c r="B213" s="1"/>
      <c r="C213" s="3"/>
      <c r="D213" s="1"/>
      <c r="E213" s="1"/>
      <c r="F213" s="1"/>
      <c r="G213" s="1"/>
      <c r="H213" s="1"/>
      <c r="I213" s="6"/>
      <c r="J213" s="6"/>
      <c r="K213" s="6"/>
      <c r="L213" s="1"/>
      <c r="M213" s="1"/>
      <c r="N213" s="1"/>
      <c r="O213" s="1"/>
      <c r="P213" s="13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ht="13.5" customHeight="1">
      <c r="A214" s="1"/>
      <c r="B214" s="1"/>
      <c r="C214" s="3"/>
      <c r="D214" s="1"/>
      <c r="E214" s="1"/>
      <c r="F214" s="1"/>
      <c r="G214" s="1"/>
      <c r="H214" s="1"/>
      <c r="I214" s="6"/>
      <c r="J214" s="6"/>
      <c r="K214" s="6"/>
      <c r="L214" s="1"/>
      <c r="M214" s="1"/>
      <c r="N214" s="1"/>
      <c r="O214" s="1"/>
      <c r="P214" s="13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ht="13.5" customHeight="1">
      <c r="A215" s="1"/>
      <c r="B215" s="1"/>
      <c r="C215" s="3"/>
      <c r="D215" s="1"/>
      <c r="E215" s="1"/>
      <c r="F215" s="1"/>
      <c r="G215" s="1"/>
      <c r="H215" s="1"/>
      <c r="I215" s="6"/>
      <c r="J215" s="6"/>
      <c r="K215" s="6"/>
      <c r="L215" s="1"/>
      <c r="M215" s="1"/>
      <c r="N215" s="1"/>
      <c r="O215" s="1"/>
      <c r="P215" s="13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spans="1:41" ht="13.5" customHeight="1">
      <c r="A216" s="1"/>
      <c r="B216" s="1"/>
      <c r="C216" s="3"/>
      <c r="D216" s="1"/>
      <c r="E216" s="1"/>
      <c r="F216" s="1"/>
      <c r="G216" s="1"/>
      <c r="H216" s="1"/>
      <c r="I216" s="6"/>
      <c r="J216" s="6"/>
      <c r="K216" s="6"/>
      <c r="L216" s="1"/>
      <c r="M216" s="1"/>
      <c r="N216" s="1"/>
      <c r="O216" s="1"/>
      <c r="P216" s="13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ht="13.5" customHeight="1">
      <c r="A217" s="1"/>
      <c r="B217" s="1"/>
      <c r="C217" s="3"/>
      <c r="D217" s="1"/>
      <c r="E217" s="1"/>
      <c r="F217" s="1"/>
      <c r="G217" s="1"/>
      <c r="H217" s="1"/>
      <c r="I217" s="6"/>
      <c r="J217" s="6"/>
      <c r="K217" s="6"/>
      <c r="L217" s="1"/>
      <c r="M217" s="1"/>
      <c r="N217" s="1"/>
      <c r="O217" s="1"/>
      <c r="P217" s="13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spans="1:41" ht="13.5" customHeight="1">
      <c r="A218" s="1"/>
      <c r="B218" s="1"/>
      <c r="C218" s="3"/>
      <c r="D218" s="1"/>
      <c r="E218" s="1"/>
      <c r="F218" s="1"/>
      <c r="G218" s="1"/>
      <c r="H218" s="1"/>
      <c r="I218" s="6"/>
      <c r="J218" s="6"/>
      <c r="K218" s="6"/>
      <c r="L218" s="1"/>
      <c r="M218" s="1"/>
      <c r="N218" s="1"/>
      <c r="O218" s="1"/>
      <c r="P218" s="13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spans="1:41" ht="13.5" customHeight="1">
      <c r="A219" s="1"/>
      <c r="B219" s="1"/>
      <c r="C219" s="3"/>
      <c r="D219" s="1"/>
      <c r="E219" s="1"/>
      <c r="F219" s="1"/>
      <c r="G219" s="1"/>
      <c r="H219" s="1"/>
      <c r="I219" s="6"/>
      <c r="J219" s="6"/>
      <c r="K219" s="6"/>
      <c r="L219" s="1"/>
      <c r="M219" s="1"/>
      <c r="N219" s="1"/>
      <c r="O219" s="1"/>
      <c r="P219" s="13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spans="1:41" ht="13.5" customHeight="1">
      <c r="A220" s="1"/>
      <c r="B220" s="1"/>
      <c r="C220" s="3"/>
      <c r="D220" s="1"/>
      <c r="E220" s="1"/>
      <c r="F220" s="1"/>
      <c r="G220" s="1"/>
      <c r="H220" s="1"/>
      <c r="I220" s="6"/>
      <c r="J220" s="6"/>
      <c r="K220" s="6"/>
      <c r="L220" s="1"/>
      <c r="M220" s="1"/>
      <c r="N220" s="1"/>
      <c r="O220" s="1"/>
      <c r="P220" s="13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spans="1:41" ht="13.5" customHeight="1">
      <c r="A221" s="1"/>
      <c r="B221" s="1"/>
      <c r="C221" s="3"/>
      <c r="D221" s="1"/>
      <c r="E221" s="1"/>
      <c r="F221" s="1"/>
      <c r="G221" s="1"/>
      <c r="H221" s="1"/>
      <c r="I221" s="6"/>
      <c r="J221" s="6"/>
      <c r="K221" s="6"/>
      <c r="L221" s="1"/>
      <c r="M221" s="1"/>
      <c r="N221" s="1"/>
      <c r="O221" s="1"/>
      <c r="P221" s="1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ht="13.5" customHeight="1">
      <c r="A222" s="1"/>
      <c r="B222" s="1"/>
      <c r="C222" s="3"/>
      <c r="D222" s="1"/>
      <c r="E222" s="1"/>
      <c r="F222" s="1"/>
      <c r="G222" s="1"/>
      <c r="H222" s="1"/>
      <c r="I222" s="6"/>
      <c r="J222" s="6"/>
      <c r="K222" s="6"/>
      <c r="L222" s="1"/>
      <c r="M222" s="1"/>
      <c r="N222" s="1"/>
      <c r="O222" s="1"/>
      <c r="P222" s="1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spans="1:41" ht="13.5" customHeight="1">
      <c r="A223" s="1"/>
      <c r="B223" s="1"/>
      <c r="C223" s="3"/>
      <c r="D223" s="1"/>
      <c r="E223" s="1"/>
      <c r="F223" s="1"/>
      <c r="G223" s="1"/>
      <c r="H223" s="1"/>
      <c r="I223" s="6"/>
      <c r="J223" s="6"/>
      <c r="K223" s="6"/>
      <c r="L223" s="1"/>
      <c r="M223" s="1"/>
      <c r="N223" s="1"/>
      <c r="O223" s="1"/>
      <c r="P223" s="13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ht="13.5" customHeight="1">
      <c r="A224" s="1"/>
      <c r="B224" s="1"/>
      <c r="C224" s="3"/>
      <c r="D224" s="1"/>
      <c r="E224" s="1"/>
      <c r="F224" s="1"/>
      <c r="G224" s="1"/>
      <c r="H224" s="1"/>
      <c r="I224" s="6"/>
      <c r="J224" s="6"/>
      <c r="K224" s="6"/>
      <c r="L224" s="1"/>
      <c r="M224" s="1"/>
      <c r="N224" s="1"/>
      <c r="O224" s="1"/>
      <c r="P224" s="13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1:41" ht="13.5" customHeight="1">
      <c r="A225" s="1"/>
      <c r="B225" s="1"/>
      <c r="C225" s="3"/>
      <c r="D225" s="1"/>
      <c r="E225" s="1"/>
      <c r="F225" s="1"/>
      <c r="G225" s="1"/>
      <c r="H225" s="1"/>
      <c r="I225" s="6"/>
      <c r="J225" s="6"/>
      <c r="K225" s="6"/>
      <c r="L225" s="1"/>
      <c r="M225" s="1"/>
      <c r="N225" s="1"/>
      <c r="O225" s="1"/>
      <c r="P225" s="13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spans="1:41" ht="13.5" customHeight="1">
      <c r="A226" s="1"/>
      <c r="B226" s="1"/>
      <c r="C226" s="3"/>
      <c r="D226" s="1"/>
      <c r="E226" s="1"/>
      <c r="F226" s="1"/>
      <c r="G226" s="1"/>
      <c r="H226" s="1"/>
      <c r="I226" s="6"/>
      <c r="J226" s="6"/>
      <c r="K226" s="6"/>
      <c r="L226" s="1"/>
      <c r="M226" s="1"/>
      <c r="N226" s="1"/>
      <c r="O226" s="1"/>
      <c r="P226" s="13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spans="1:41" ht="13.5" customHeight="1">
      <c r="A227" s="1"/>
      <c r="B227" s="1"/>
      <c r="C227" s="3"/>
      <c r="D227" s="1"/>
      <c r="E227" s="1"/>
      <c r="F227" s="1"/>
      <c r="G227" s="1"/>
      <c r="H227" s="1"/>
      <c r="I227" s="6"/>
      <c r="J227" s="6"/>
      <c r="K227" s="6"/>
      <c r="L227" s="1"/>
      <c r="M227" s="1"/>
      <c r="N227" s="1"/>
      <c r="O227" s="1"/>
      <c r="P227" s="13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spans="1:41" ht="13.5" customHeight="1">
      <c r="A228" s="1"/>
      <c r="B228" s="1"/>
      <c r="C228" s="3"/>
      <c r="D228" s="1"/>
      <c r="E228" s="1"/>
      <c r="F228" s="1"/>
      <c r="G228" s="1"/>
      <c r="H228" s="1"/>
      <c r="I228" s="6"/>
      <c r="J228" s="6"/>
      <c r="K228" s="6"/>
      <c r="L228" s="1"/>
      <c r="M228" s="1"/>
      <c r="N228" s="1"/>
      <c r="O228" s="1"/>
      <c r="P228" s="13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spans="1:41" ht="13.5" customHeight="1">
      <c r="A229" s="1"/>
      <c r="B229" s="1"/>
      <c r="C229" s="3"/>
      <c r="D229" s="1"/>
      <c r="E229" s="1"/>
      <c r="F229" s="1"/>
      <c r="G229" s="1"/>
      <c r="H229" s="1"/>
      <c r="I229" s="6"/>
      <c r="J229" s="6"/>
      <c r="K229" s="6"/>
      <c r="L229" s="1"/>
      <c r="M229" s="1"/>
      <c r="N229" s="1"/>
      <c r="O229" s="1"/>
      <c r="P229" s="13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spans="1:41" ht="13.5" customHeight="1">
      <c r="A230" s="1"/>
      <c r="B230" s="1"/>
      <c r="C230" s="3"/>
      <c r="D230" s="1"/>
      <c r="E230" s="1"/>
      <c r="F230" s="1"/>
      <c r="G230" s="1"/>
      <c r="H230" s="1"/>
      <c r="I230" s="6"/>
      <c r="J230" s="6"/>
      <c r="K230" s="6"/>
      <c r="L230" s="1"/>
      <c r="M230" s="1"/>
      <c r="N230" s="1"/>
      <c r="O230" s="1"/>
      <c r="P230" s="13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spans="1:41" ht="13.5" customHeight="1">
      <c r="A231" s="1"/>
      <c r="B231" s="1"/>
      <c r="C231" s="3"/>
      <c r="D231" s="1"/>
      <c r="E231" s="1"/>
      <c r="F231" s="1"/>
      <c r="G231" s="1"/>
      <c r="H231" s="1"/>
      <c r="I231" s="6"/>
      <c r="J231" s="6"/>
      <c r="K231" s="6"/>
      <c r="L231" s="1"/>
      <c r="M231" s="1"/>
      <c r="N231" s="1"/>
      <c r="O231" s="1"/>
      <c r="P231" s="13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spans="1:41" ht="13.5" customHeight="1">
      <c r="A232" s="1"/>
      <c r="B232" s="1"/>
      <c r="C232" s="3"/>
      <c r="D232" s="1"/>
      <c r="E232" s="1"/>
      <c r="F232" s="1"/>
      <c r="G232" s="1"/>
      <c r="H232" s="1"/>
      <c r="I232" s="6"/>
      <c r="J232" s="6"/>
      <c r="K232" s="6"/>
      <c r="L232" s="1"/>
      <c r="M232" s="1"/>
      <c r="N232" s="1"/>
      <c r="O232" s="1"/>
      <c r="P232" s="13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1:41" ht="13.5" customHeight="1">
      <c r="A233" s="1"/>
      <c r="B233" s="1"/>
      <c r="C233" s="3"/>
      <c r="D233" s="1"/>
      <c r="E233" s="1"/>
      <c r="F233" s="1"/>
      <c r="G233" s="1"/>
      <c r="H233" s="1"/>
      <c r="I233" s="6"/>
      <c r="J233" s="6"/>
      <c r="K233" s="6"/>
      <c r="L233" s="1"/>
      <c r="M233" s="1"/>
      <c r="N233" s="1"/>
      <c r="O233" s="1"/>
      <c r="P233" s="13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spans="1:41" ht="13.5" customHeight="1">
      <c r="A234" s="1"/>
      <c r="B234" s="1"/>
      <c r="C234" s="3"/>
      <c r="D234" s="1"/>
      <c r="E234" s="1"/>
      <c r="F234" s="1"/>
      <c r="G234" s="1"/>
      <c r="H234" s="1"/>
      <c r="I234" s="6"/>
      <c r="J234" s="6"/>
      <c r="K234" s="6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spans="1:41" ht="13.5" customHeight="1">
      <c r="A235" s="1"/>
      <c r="B235" s="1"/>
      <c r="C235" s="3"/>
      <c r="D235" s="1"/>
      <c r="E235" s="1"/>
      <c r="F235" s="1"/>
      <c r="G235" s="1"/>
      <c r="H235" s="1"/>
      <c r="I235" s="6"/>
      <c r="J235" s="6"/>
      <c r="K235" s="6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ht="13.5" customHeight="1">
      <c r="A236" s="1"/>
      <c r="B236" s="1"/>
      <c r="C236" s="3"/>
      <c r="D236" s="1"/>
      <c r="E236" s="1"/>
      <c r="F236" s="1"/>
      <c r="G236" s="1"/>
      <c r="H236" s="1"/>
      <c r="I236" s="6"/>
      <c r="J236" s="6"/>
      <c r="K236" s="6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spans="1:41" ht="13.5" customHeight="1">
      <c r="A237" s="1"/>
      <c r="B237" s="1"/>
      <c r="C237" s="3"/>
      <c r="D237" s="1"/>
      <c r="E237" s="1"/>
      <c r="F237" s="1"/>
      <c r="G237" s="1"/>
      <c r="H237" s="1"/>
      <c r="I237" s="6"/>
      <c r="J237" s="6"/>
      <c r="K237" s="6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spans="1:41" ht="13.5" customHeight="1">
      <c r="A238" s="1"/>
      <c r="B238" s="1"/>
      <c r="C238" s="3"/>
      <c r="D238" s="1"/>
      <c r="E238" s="1"/>
      <c r="F238" s="1"/>
      <c r="G238" s="1"/>
      <c r="H238" s="1"/>
      <c r="I238" s="6"/>
      <c r="J238" s="6"/>
      <c r="K238" s="6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ht="13.5" customHeight="1">
      <c r="A239" s="1"/>
      <c r="B239" s="1"/>
      <c r="C239" s="3"/>
      <c r="D239" s="1"/>
      <c r="E239" s="1"/>
      <c r="F239" s="1"/>
      <c r="G239" s="1"/>
      <c r="H239" s="1"/>
      <c r="I239" s="6"/>
      <c r="J239" s="6"/>
      <c r="K239" s="6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1:41" ht="13.5" customHeight="1">
      <c r="A240" s="1"/>
      <c r="B240" s="1"/>
      <c r="C240" s="3"/>
      <c r="D240" s="1"/>
      <c r="E240" s="1"/>
      <c r="F240" s="1"/>
      <c r="G240" s="1"/>
      <c r="H240" s="1"/>
      <c r="I240" s="6"/>
      <c r="J240" s="6"/>
      <c r="K240" s="6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spans="1:41" ht="13.5" customHeight="1">
      <c r="A241" s="1"/>
      <c r="B241" s="1"/>
      <c r="C241" s="3"/>
      <c r="D241" s="1"/>
      <c r="E241" s="1"/>
      <c r="F241" s="1"/>
      <c r="G241" s="1"/>
      <c r="H241" s="1"/>
      <c r="I241" s="6"/>
      <c r="J241" s="6"/>
      <c r="K241" s="6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ht="13.5" customHeight="1">
      <c r="A242" s="1"/>
      <c r="B242" s="1"/>
      <c r="C242" s="3"/>
      <c r="D242" s="1"/>
      <c r="E242" s="1"/>
      <c r="F242" s="1"/>
      <c r="G242" s="1"/>
      <c r="H242" s="1"/>
      <c r="I242" s="6"/>
      <c r="J242" s="6"/>
      <c r="K242" s="6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ht="13.5" customHeight="1">
      <c r="A243" s="1"/>
      <c r="B243" s="1"/>
      <c r="C243" s="3"/>
      <c r="D243" s="1"/>
      <c r="E243" s="1"/>
      <c r="F243" s="1"/>
      <c r="G243" s="1"/>
      <c r="H243" s="1"/>
      <c r="I243" s="6"/>
      <c r="J243" s="6"/>
      <c r="K243" s="6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ht="13.5" customHeight="1">
      <c r="A244" s="1"/>
      <c r="B244" s="1"/>
      <c r="C244" s="3"/>
      <c r="D244" s="1"/>
      <c r="E244" s="1"/>
      <c r="F244" s="1"/>
      <c r="G244" s="1"/>
      <c r="H244" s="1"/>
      <c r="I244" s="6"/>
      <c r="J244" s="6"/>
      <c r="K244" s="6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1:41" ht="13.5" customHeight="1">
      <c r="A245" s="1"/>
      <c r="B245" s="1"/>
      <c r="C245" s="3"/>
      <c r="D245" s="1"/>
      <c r="E245" s="1"/>
      <c r="F245" s="1"/>
      <c r="G245" s="1"/>
      <c r="H245" s="1"/>
      <c r="I245" s="6"/>
      <c r="J245" s="6"/>
      <c r="K245" s="6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1:41" ht="13.5" customHeight="1">
      <c r="A246" s="1"/>
      <c r="B246" s="1"/>
      <c r="C246" s="3"/>
      <c r="D246" s="1"/>
      <c r="E246" s="1"/>
      <c r="F246" s="1"/>
      <c r="G246" s="1"/>
      <c r="H246" s="1"/>
      <c r="I246" s="6"/>
      <c r="J246" s="6"/>
      <c r="K246" s="6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ht="13.5" customHeight="1">
      <c r="A247" s="1"/>
      <c r="B247" s="1"/>
      <c r="C247" s="3"/>
      <c r="D247" s="1"/>
      <c r="E247" s="1"/>
      <c r="F247" s="1"/>
      <c r="G247" s="1"/>
      <c r="H247" s="1"/>
      <c r="I247" s="6"/>
      <c r="J247" s="6"/>
      <c r="K247" s="6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ht="13.5" customHeight="1">
      <c r="A248" s="1"/>
      <c r="B248" s="1"/>
      <c r="C248" s="3"/>
      <c r="D248" s="1"/>
      <c r="E248" s="1"/>
      <c r="F248" s="1"/>
      <c r="G248" s="1"/>
      <c r="H248" s="1"/>
      <c r="I248" s="6"/>
      <c r="J248" s="6"/>
      <c r="K248" s="6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ht="13.5" customHeight="1">
      <c r="A249" s="1"/>
      <c r="B249" s="1"/>
      <c r="C249" s="3"/>
      <c r="D249" s="1"/>
      <c r="E249" s="1"/>
      <c r="F249" s="1"/>
      <c r="G249" s="1"/>
      <c r="H249" s="1"/>
      <c r="I249" s="6"/>
      <c r="J249" s="6"/>
      <c r="K249" s="6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1:41" ht="13.5" customHeight="1">
      <c r="A250" s="1"/>
      <c r="B250" s="1"/>
      <c r="C250" s="3"/>
      <c r="D250" s="1"/>
      <c r="E250" s="1"/>
      <c r="F250" s="1"/>
      <c r="G250" s="1"/>
      <c r="H250" s="1"/>
      <c r="I250" s="6"/>
      <c r="J250" s="6"/>
      <c r="K250" s="6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ht="13.5" customHeight="1">
      <c r="A251" s="1"/>
      <c r="B251" s="1"/>
      <c r="C251" s="3"/>
      <c r="D251" s="1"/>
      <c r="E251" s="1"/>
      <c r="F251" s="1"/>
      <c r="G251" s="1"/>
      <c r="H251" s="1"/>
      <c r="I251" s="6"/>
      <c r="J251" s="6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ht="13.5" customHeight="1">
      <c r="A252" s="1"/>
      <c r="B252" s="1"/>
      <c r="C252" s="3"/>
      <c r="D252" s="1"/>
      <c r="E252" s="1"/>
      <c r="F252" s="1"/>
      <c r="G252" s="1"/>
      <c r="H252" s="1"/>
      <c r="I252" s="6"/>
      <c r="J252" s="6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spans="1:41" ht="13.5" customHeight="1">
      <c r="A253" s="1"/>
      <c r="B253" s="1"/>
      <c r="C253" s="3"/>
      <c r="D253" s="1"/>
      <c r="E253" s="1"/>
      <c r="F253" s="1"/>
      <c r="G253" s="1"/>
      <c r="H253" s="1"/>
      <c r="I253" s="6"/>
      <c r="J253" s="6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ht="13.5" customHeight="1">
      <c r="A254" s="1"/>
      <c r="B254" s="1"/>
      <c r="C254" s="3"/>
      <c r="D254" s="1"/>
      <c r="E254" s="1"/>
      <c r="F254" s="1"/>
      <c r="G254" s="1"/>
      <c r="H254" s="1"/>
      <c r="I254" s="6"/>
      <c r="J254" s="6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ht="13.5" customHeight="1">
      <c r="A255" s="1"/>
      <c r="B255" s="1"/>
      <c r="C255" s="3"/>
      <c r="D255" s="1"/>
      <c r="E255" s="1"/>
      <c r="F255" s="1"/>
      <c r="G255" s="1"/>
      <c r="H255" s="1"/>
      <c r="I255" s="6"/>
      <c r="J255" s="6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spans="1:41" ht="13.5" customHeight="1">
      <c r="A256" s="1"/>
      <c r="B256" s="1"/>
      <c r="C256" s="3"/>
      <c r="D256" s="1"/>
      <c r="E256" s="1"/>
      <c r="F256" s="1"/>
      <c r="G256" s="1"/>
      <c r="H256" s="1"/>
      <c r="I256" s="6"/>
      <c r="J256" s="6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1:41" ht="13.5" customHeight="1">
      <c r="A257" s="1"/>
      <c r="B257" s="1"/>
      <c r="C257" s="3"/>
      <c r="D257" s="1"/>
      <c r="E257" s="1"/>
      <c r="F257" s="1"/>
      <c r="G257" s="1"/>
      <c r="H257" s="1"/>
      <c r="I257" s="6"/>
      <c r="J257" s="6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spans="1:41" ht="13.5" customHeight="1">
      <c r="A258" s="1"/>
      <c r="B258" s="1"/>
      <c r="C258" s="3"/>
      <c r="D258" s="1"/>
      <c r="E258" s="1"/>
      <c r="F258" s="1"/>
      <c r="G258" s="1"/>
      <c r="H258" s="1"/>
      <c r="I258" s="6"/>
      <c r="J258" s="6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ht="13.5" customHeight="1">
      <c r="A259" s="1"/>
      <c r="B259" s="1"/>
      <c r="C259" s="3"/>
      <c r="D259" s="1"/>
      <c r="E259" s="1"/>
      <c r="F259" s="1"/>
      <c r="G259" s="1"/>
      <c r="H259" s="1"/>
      <c r="I259" s="6"/>
      <c r="J259" s="6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1:41" ht="13.5" customHeight="1">
      <c r="A260" s="1"/>
      <c r="B260" s="1"/>
      <c r="C260" s="3"/>
      <c r="D260" s="1"/>
      <c r="E260" s="1"/>
      <c r="F260" s="1"/>
      <c r="G260" s="1"/>
      <c r="H260" s="1"/>
      <c r="I260" s="6"/>
      <c r="J260" s="6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1:41" ht="13.5" customHeight="1">
      <c r="A261" s="1"/>
      <c r="B261" s="1"/>
      <c r="C261" s="3"/>
      <c r="D261" s="1"/>
      <c r="E261" s="1"/>
      <c r="F261" s="1"/>
      <c r="G261" s="1"/>
      <c r="H261" s="1"/>
      <c r="I261" s="6"/>
      <c r="J261" s="6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spans="1:41" ht="13.5" customHeight="1">
      <c r="A262" s="1"/>
      <c r="B262" s="1"/>
      <c r="C262" s="3"/>
      <c r="D262" s="1"/>
      <c r="E262" s="1"/>
      <c r="F262" s="1"/>
      <c r="G262" s="1"/>
      <c r="H262" s="1"/>
      <c r="I262" s="6"/>
      <c r="J262" s="6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spans="1:41" ht="13.5" customHeight="1">
      <c r="A263" s="1"/>
      <c r="B263" s="1"/>
      <c r="C263" s="3"/>
      <c r="D263" s="1"/>
      <c r="E263" s="1"/>
      <c r="F263" s="1"/>
      <c r="G263" s="1"/>
      <c r="H263" s="1"/>
      <c r="I263" s="6"/>
      <c r="J263" s="6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1:41" ht="13.5" customHeight="1">
      <c r="A264" s="1"/>
      <c r="B264" s="1"/>
      <c r="C264" s="3"/>
      <c r="D264" s="1"/>
      <c r="E264" s="1"/>
      <c r="F264" s="1"/>
      <c r="G264" s="1"/>
      <c r="H264" s="1"/>
      <c r="I264" s="6"/>
      <c r="J264" s="6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1:41" ht="13.5" customHeight="1">
      <c r="A265" s="1"/>
      <c r="B265" s="1"/>
      <c r="C265" s="3"/>
      <c r="D265" s="1"/>
      <c r="E265" s="1"/>
      <c r="F265" s="1"/>
      <c r="G265" s="1"/>
      <c r="H265" s="1"/>
      <c r="I265" s="6"/>
      <c r="J265" s="6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spans="1:41" ht="13.5" customHeight="1">
      <c r="A266" s="1"/>
      <c r="B266" s="1"/>
      <c r="C266" s="3"/>
      <c r="D266" s="1"/>
      <c r="E266" s="1"/>
      <c r="F266" s="1"/>
      <c r="G266" s="1"/>
      <c r="H266" s="1"/>
      <c r="I266" s="6"/>
      <c r="J266" s="6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ht="13.5" customHeight="1">
      <c r="A267" s="1"/>
      <c r="B267" s="1"/>
      <c r="C267" s="3"/>
      <c r="D267" s="1"/>
      <c r="E267" s="1"/>
      <c r="F267" s="1"/>
      <c r="G267" s="1"/>
      <c r="H267" s="1"/>
      <c r="I267" s="6"/>
      <c r="J267" s="6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ht="13.5" customHeight="1">
      <c r="A268" s="1"/>
      <c r="B268" s="1"/>
      <c r="C268" s="3"/>
      <c r="D268" s="1"/>
      <c r="E268" s="1"/>
      <c r="F268" s="1"/>
      <c r="G268" s="1"/>
      <c r="H268" s="1"/>
      <c r="I268" s="6"/>
      <c r="J268" s="6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1:41" ht="13.5" customHeight="1">
      <c r="A269" s="1"/>
      <c r="B269" s="1"/>
      <c r="C269" s="3"/>
      <c r="D269" s="1"/>
      <c r="E269" s="1"/>
      <c r="F269" s="1"/>
      <c r="G269" s="1"/>
      <c r="H269" s="1"/>
      <c r="I269" s="6"/>
      <c r="J269" s="6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1:41" ht="13.5" customHeight="1">
      <c r="A270" s="1"/>
      <c r="B270" s="1"/>
      <c r="C270" s="3"/>
      <c r="D270" s="1"/>
      <c r="E270" s="1"/>
      <c r="F270" s="1"/>
      <c r="G270" s="1"/>
      <c r="H270" s="1"/>
      <c r="I270" s="6"/>
      <c r="J270" s="6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spans="1:41" ht="13.5" customHeight="1">
      <c r="A271" s="1"/>
      <c r="B271" s="1"/>
      <c r="C271" s="3"/>
      <c r="D271" s="1"/>
      <c r="E271" s="1"/>
      <c r="F271" s="1"/>
      <c r="G271" s="1"/>
      <c r="H271" s="1"/>
      <c r="I271" s="6"/>
      <c r="J271" s="6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ht="13.5" customHeight="1">
      <c r="A272" s="1"/>
      <c r="B272" s="1"/>
      <c r="C272" s="3"/>
      <c r="D272" s="1"/>
      <c r="E272" s="1"/>
      <c r="F272" s="1"/>
      <c r="G272" s="1"/>
      <c r="H272" s="1"/>
      <c r="I272" s="6"/>
      <c r="J272" s="6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1:41" ht="13.5" customHeight="1">
      <c r="A273" s="1"/>
      <c r="B273" s="1"/>
      <c r="C273" s="3"/>
      <c r="D273" s="1"/>
      <c r="E273" s="1"/>
      <c r="F273" s="1"/>
      <c r="G273" s="1"/>
      <c r="H273" s="1"/>
      <c r="I273" s="6"/>
      <c r="J273" s="6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ht="13.5" customHeight="1">
      <c r="A274" s="1"/>
      <c r="B274" s="1"/>
      <c r="C274" s="3"/>
      <c r="D274" s="1"/>
      <c r="E274" s="1"/>
      <c r="F274" s="1"/>
      <c r="G274" s="1"/>
      <c r="H274" s="1"/>
      <c r="I274" s="6"/>
      <c r="J274" s="6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spans="1:41" ht="13.5" customHeight="1">
      <c r="A275" s="1"/>
      <c r="B275" s="1"/>
      <c r="C275" s="3"/>
      <c r="D275" s="1"/>
      <c r="E275" s="1"/>
      <c r="F275" s="1"/>
      <c r="G275" s="1"/>
      <c r="H275" s="1"/>
      <c r="I275" s="6"/>
      <c r="J275" s="6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ht="13.5" customHeight="1">
      <c r="A276" s="1"/>
      <c r="B276" s="1"/>
      <c r="C276" s="3"/>
      <c r="D276" s="1"/>
      <c r="E276" s="1"/>
      <c r="F276" s="1"/>
      <c r="G276" s="1"/>
      <c r="H276" s="1"/>
      <c r="I276" s="6"/>
      <c r="J276" s="6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spans="1:41" ht="13.5" customHeight="1">
      <c r="A277" s="1"/>
      <c r="B277" s="1"/>
      <c r="C277" s="3"/>
      <c r="D277" s="1"/>
      <c r="E277" s="1"/>
      <c r="F277" s="1"/>
      <c r="G277" s="1"/>
      <c r="H277" s="1"/>
      <c r="I277" s="6"/>
      <c r="J277" s="6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ht="13.5" customHeight="1">
      <c r="A278" s="1"/>
      <c r="B278" s="1"/>
      <c r="C278" s="3"/>
      <c r="D278" s="1"/>
      <c r="E278" s="1"/>
      <c r="F278" s="1"/>
      <c r="G278" s="1"/>
      <c r="H278" s="1"/>
      <c r="I278" s="6"/>
      <c r="J278" s="6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1:41" ht="13.5" customHeight="1">
      <c r="A279" s="1"/>
      <c r="B279" s="1"/>
      <c r="C279" s="3"/>
      <c r="D279" s="1"/>
      <c r="E279" s="1"/>
      <c r="F279" s="1"/>
      <c r="G279" s="1"/>
      <c r="H279" s="1"/>
      <c r="I279" s="6"/>
      <c r="J279" s="6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spans="1:41" ht="13.5" customHeight="1">
      <c r="A280" s="1"/>
      <c r="B280" s="1"/>
      <c r="C280" s="3"/>
      <c r="D280" s="1"/>
      <c r="E280" s="1"/>
      <c r="F280" s="1"/>
      <c r="G280" s="1"/>
      <c r="H280" s="1"/>
      <c r="I280" s="6"/>
      <c r="J280" s="6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spans="1:41" ht="13.5" customHeight="1">
      <c r="A281" s="1"/>
      <c r="B281" s="1"/>
      <c r="C281" s="3"/>
      <c r="D281" s="1"/>
      <c r="E281" s="1"/>
      <c r="F281" s="1"/>
      <c r="G281" s="1"/>
      <c r="H281" s="1"/>
      <c r="I281" s="6"/>
      <c r="J281" s="6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spans="1:41" ht="13.5" customHeight="1">
      <c r="A282" s="1"/>
      <c r="B282" s="1"/>
      <c r="C282" s="3"/>
      <c r="D282" s="1"/>
      <c r="E282" s="1"/>
      <c r="F282" s="1"/>
      <c r="G282" s="1"/>
      <c r="H282" s="1"/>
      <c r="I282" s="6"/>
      <c r="J282" s="6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ht="13.5" customHeight="1">
      <c r="A283" s="1"/>
      <c r="B283" s="1"/>
      <c r="C283" s="3"/>
      <c r="D283" s="1"/>
      <c r="E283" s="1"/>
      <c r="F283" s="1"/>
      <c r="G283" s="1"/>
      <c r="H283" s="1"/>
      <c r="I283" s="6"/>
      <c r="J283" s="6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spans="1:41" ht="13.5" customHeight="1">
      <c r="A284" s="1"/>
      <c r="B284" s="1"/>
      <c r="C284" s="3"/>
      <c r="D284" s="1"/>
      <c r="E284" s="1"/>
      <c r="F284" s="1"/>
      <c r="G284" s="1"/>
      <c r="H284" s="1"/>
      <c r="I284" s="6"/>
      <c r="J284" s="6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spans="1:41" ht="13.5" customHeight="1">
      <c r="A285" s="1"/>
      <c r="B285" s="1"/>
      <c r="C285" s="3"/>
      <c r="D285" s="1"/>
      <c r="E285" s="1"/>
      <c r="F285" s="1"/>
      <c r="G285" s="1"/>
      <c r="H285" s="1"/>
      <c r="I285" s="6"/>
      <c r="J285" s="6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spans="1:41" ht="13.5" customHeight="1">
      <c r="A286" s="1"/>
      <c r="B286" s="1"/>
      <c r="C286" s="3"/>
      <c r="D286" s="1"/>
      <c r="E286" s="1"/>
      <c r="F286" s="1"/>
      <c r="G286" s="1"/>
      <c r="H286" s="1"/>
      <c r="I286" s="6"/>
      <c r="J286" s="6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spans="1:41" ht="13.5" customHeight="1">
      <c r="A287" s="1"/>
      <c r="B287" s="1"/>
      <c r="C287" s="3"/>
      <c r="D287" s="1"/>
      <c r="E287" s="1"/>
      <c r="F287" s="1"/>
      <c r="G287" s="1"/>
      <c r="H287" s="1"/>
      <c r="I287" s="6"/>
      <c r="J287" s="6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spans="1:41" ht="13.5" customHeight="1">
      <c r="A288" s="1"/>
      <c r="B288" s="1"/>
      <c r="C288" s="3"/>
      <c r="D288" s="1"/>
      <c r="E288" s="1"/>
      <c r="F288" s="1"/>
      <c r="G288" s="1"/>
      <c r="H288" s="1"/>
      <c r="I288" s="6"/>
      <c r="J288" s="6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1:41" ht="13.5" customHeight="1">
      <c r="A289" s="1"/>
      <c r="B289" s="1"/>
      <c r="C289" s="3"/>
      <c r="D289" s="1"/>
      <c r="E289" s="1"/>
      <c r="F289" s="1"/>
      <c r="G289" s="1"/>
      <c r="H289" s="1"/>
      <c r="I289" s="6"/>
      <c r="J289" s="6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spans="1:41" ht="13.5" customHeight="1">
      <c r="A290" s="1"/>
      <c r="B290" s="1"/>
      <c r="C290" s="3"/>
      <c r="D290" s="1"/>
      <c r="E290" s="1"/>
      <c r="F290" s="1"/>
      <c r="G290" s="1"/>
      <c r="H290" s="1"/>
      <c r="I290" s="6"/>
      <c r="J290" s="6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1:41" ht="13.5" customHeight="1">
      <c r="A291" s="1"/>
      <c r="B291" s="1"/>
      <c r="C291" s="3"/>
      <c r="D291" s="1"/>
      <c r="E291" s="1"/>
      <c r="F291" s="1"/>
      <c r="G291" s="1"/>
      <c r="H291" s="1"/>
      <c r="I291" s="6"/>
      <c r="J291" s="6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ht="13.5" customHeight="1">
      <c r="A292" s="1"/>
      <c r="B292" s="1"/>
      <c r="C292" s="3"/>
      <c r="D292" s="1"/>
      <c r="E292" s="1"/>
      <c r="F292" s="1"/>
      <c r="G292" s="1"/>
      <c r="H292" s="1"/>
      <c r="I292" s="6"/>
      <c r="J292" s="6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1:41" ht="13.5" customHeight="1">
      <c r="A293" s="1"/>
      <c r="B293" s="1"/>
      <c r="C293" s="3"/>
      <c r="D293" s="1"/>
      <c r="E293" s="1"/>
      <c r="F293" s="1"/>
      <c r="G293" s="1"/>
      <c r="H293" s="1"/>
      <c r="I293" s="6"/>
      <c r="J293" s="6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ht="13.5" customHeight="1">
      <c r="A294" s="1"/>
      <c r="B294" s="1"/>
      <c r="C294" s="3"/>
      <c r="D294" s="1"/>
      <c r="E294" s="1"/>
      <c r="F294" s="1"/>
      <c r="G294" s="1"/>
      <c r="H294" s="1"/>
      <c r="I294" s="6"/>
      <c r="J294" s="6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1:41" ht="13.5" customHeight="1">
      <c r="A295" s="1"/>
      <c r="B295" s="1"/>
      <c r="C295" s="3"/>
      <c r="D295" s="1"/>
      <c r="E295" s="1"/>
      <c r="F295" s="1"/>
      <c r="G295" s="1"/>
      <c r="H295" s="1"/>
      <c r="I295" s="6"/>
      <c r="J295" s="6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spans="1:41" ht="13.5" customHeight="1">
      <c r="A296" s="1"/>
      <c r="B296" s="1"/>
      <c r="C296" s="3"/>
      <c r="D296" s="1"/>
      <c r="E296" s="1"/>
      <c r="F296" s="1"/>
      <c r="G296" s="1"/>
      <c r="H296" s="1"/>
      <c r="I296" s="6"/>
      <c r="J296" s="6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spans="1:41" ht="13.5" customHeight="1">
      <c r="A297" s="1"/>
      <c r="B297" s="1"/>
      <c r="C297" s="3"/>
      <c r="D297" s="1"/>
      <c r="E297" s="1"/>
      <c r="F297" s="1"/>
      <c r="G297" s="1"/>
      <c r="H297" s="1"/>
      <c r="I297" s="6"/>
      <c r="J297" s="6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ht="13.5" customHeight="1">
      <c r="A298" s="1"/>
      <c r="B298" s="1"/>
      <c r="C298" s="3"/>
      <c r="D298" s="1"/>
      <c r="E298" s="1"/>
      <c r="F298" s="1"/>
      <c r="G298" s="1"/>
      <c r="H298" s="1"/>
      <c r="I298" s="6"/>
      <c r="J298" s="6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ht="13.5" customHeight="1">
      <c r="A299" s="1"/>
      <c r="B299" s="1"/>
      <c r="C299" s="3"/>
      <c r="D299" s="1"/>
      <c r="E299" s="1"/>
      <c r="F299" s="1"/>
      <c r="G299" s="1"/>
      <c r="H299" s="1"/>
      <c r="I299" s="6"/>
      <c r="J299" s="6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spans="1:41" ht="13.5" customHeight="1">
      <c r="A300" s="1"/>
      <c r="B300" s="1"/>
      <c r="C300" s="3"/>
      <c r="D300" s="1"/>
      <c r="E300" s="1"/>
      <c r="F300" s="1"/>
      <c r="G300" s="1"/>
      <c r="H300" s="1"/>
      <c r="I300" s="6"/>
      <c r="J300" s="6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ht="13.5" customHeight="1">
      <c r="A301" s="1"/>
      <c r="B301" s="1"/>
      <c r="C301" s="3"/>
      <c r="D301" s="1"/>
      <c r="E301" s="1"/>
      <c r="F301" s="1"/>
      <c r="G301" s="1"/>
      <c r="H301" s="1"/>
      <c r="I301" s="6"/>
      <c r="J301" s="6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spans="1:41" ht="13.5" customHeight="1">
      <c r="A302" s="1"/>
      <c r="B302" s="1"/>
      <c r="C302" s="3"/>
      <c r="D302" s="1"/>
      <c r="E302" s="1"/>
      <c r="F302" s="1"/>
      <c r="G302" s="1"/>
      <c r="H302" s="1"/>
      <c r="I302" s="6"/>
      <c r="J302" s="6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spans="1:41" ht="13.5" customHeight="1">
      <c r="A303" s="1"/>
      <c r="B303" s="1"/>
      <c r="C303" s="3"/>
      <c r="D303" s="1"/>
      <c r="E303" s="1"/>
      <c r="F303" s="1"/>
      <c r="G303" s="1"/>
      <c r="H303" s="1"/>
      <c r="I303" s="6"/>
      <c r="J303" s="6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spans="1:41" ht="13.5" customHeight="1">
      <c r="A304" s="1"/>
      <c r="B304" s="1"/>
      <c r="C304" s="3"/>
      <c r="D304" s="1"/>
      <c r="E304" s="1"/>
      <c r="F304" s="1"/>
      <c r="G304" s="1"/>
      <c r="H304" s="1"/>
      <c r="I304" s="6"/>
      <c r="J304" s="6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spans="1:41" ht="13.5" customHeight="1">
      <c r="A305" s="1"/>
      <c r="B305" s="1"/>
      <c r="C305" s="3"/>
      <c r="D305" s="1"/>
      <c r="E305" s="1"/>
      <c r="F305" s="1"/>
      <c r="G305" s="1"/>
      <c r="H305" s="1"/>
      <c r="I305" s="6"/>
      <c r="J305" s="6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spans="1:41" ht="13.5" customHeight="1">
      <c r="A306" s="1"/>
      <c r="B306" s="1"/>
      <c r="C306" s="3"/>
      <c r="D306" s="1"/>
      <c r="E306" s="1"/>
      <c r="F306" s="1"/>
      <c r="G306" s="1"/>
      <c r="H306" s="1"/>
      <c r="I306" s="6"/>
      <c r="J306" s="6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spans="1:41" ht="13.5" customHeight="1">
      <c r="A307" s="1"/>
      <c r="B307" s="1"/>
      <c r="C307" s="3"/>
      <c r="D307" s="1"/>
      <c r="E307" s="1"/>
      <c r="F307" s="1"/>
      <c r="G307" s="1"/>
      <c r="H307" s="1"/>
      <c r="I307" s="6"/>
      <c r="J307" s="6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spans="1:41" ht="13.5" customHeight="1">
      <c r="A308" s="1"/>
      <c r="B308" s="1"/>
      <c r="C308" s="3"/>
      <c r="D308" s="1"/>
      <c r="E308" s="1"/>
      <c r="F308" s="1"/>
      <c r="G308" s="1"/>
      <c r="H308" s="1"/>
      <c r="I308" s="6"/>
      <c r="J308" s="6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spans="1:41" ht="13.5" customHeight="1">
      <c r="A309" s="1"/>
      <c r="B309" s="1"/>
      <c r="C309" s="3"/>
      <c r="D309" s="1"/>
      <c r="E309" s="1"/>
      <c r="F309" s="1"/>
      <c r="G309" s="1"/>
      <c r="H309" s="1"/>
      <c r="I309" s="6"/>
      <c r="J309" s="6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ht="13.5" customHeight="1">
      <c r="A310" s="1"/>
      <c r="B310" s="1"/>
      <c r="C310" s="3"/>
      <c r="D310" s="1"/>
      <c r="E310" s="1"/>
      <c r="F310" s="1"/>
      <c r="G310" s="1"/>
      <c r="H310" s="1"/>
      <c r="I310" s="6"/>
      <c r="J310" s="6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1:41" ht="13.5" customHeight="1">
      <c r="A311" s="1"/>
      <c r="B311" s="1"/>
      <c r="C311" s="3"/>
      <c r="D311" s="1"/>
      <c r="E311" s="1"/>
      <c r="F311" s="1"/>
      <c r="G311" s="1"/>
      <c r="H311" s="1"/>
      <c r="I311" s="6"/>
      <c r="J311" s="6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ht="13.5" customHeight="1">
      <c r="A312" s="1"/>
      <c r="B312" s="1"/>
      <c r="C312" s="3"/>
      <c r="D312" s="1"/>
      <c r="E312" s="1"/>
      <c r="F312" s="1"/>
      <c r="G312" s="1"/>
      <c r="H312" s="1"/>
      <c r="I312" s="6"/>
      <c r="J312" s="6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1:41" ht="13.5" customHeight="1">
      <c r="A313" s="1"/>
      <c r="B313" s="1"/>
      <c r="C313" s="3"/>
      <c r="D313" s="1"/>
      <c r="E313" s="1"/>
      <c r="F313" s="1"/>
      <c r="G313" s="1"/>
      <c r="H313" s="1"/>
      <c r="I313" s="6"/>
      <c r="J313" s="6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ht="13.5" customHeight="1">
      <c r="A314" s="1"/>
      <c r="B314" s="1"/>
      <c r="C314" s="3"/>
      <c r="D314" s="1"/>
      <c r="E314" s="1"/>
      <c r="F314" s="1"/>
      <c r="G314" s="1"/>
      <c r="H314" s="1"/>
      <c r="I314" s="6"/>
      <c r="J314" s="6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1:41" ht="13.5" customHeight="1">
      <c r="A315" s="1"/>
      <c r="B315" s="1"/>
      <c r="C315" s="3"/>
      <c r="D315" s="1"/>
      <c r="E315" s="1"/>
      <c r="F315" s="1"/>
      <c r="G315" s="1"/>
      <c r="H315" s="1"/>
      <c r="I315" s="6"/>
      <c r="J315" s="6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1:41" ht="13.5" customHeight="1">
      <c r="A316" s="1"/>
      <c r="B316" s="1"/>
      <c r="C316" s="3"/>
      <c r="D316" s="1"/>
      <c r="E316" s="1"/>
      <c r="F316" s="1"/>
      <c r="G316" s="1"/>
      <c r="H316" s="1"/>
      <c r="I316" s="6"/>
      <c r="J316" s="6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</row>
    <row r="317" spans="1:41" ht="13.5" customHeight="1">
      <c r="A317" s="1"/>
      <c r="B317" s="1"/>
      <c r="C317" s="3"/>
      <c r="D317" s="1"/>
      <c r="E317" s="1"/>
      <c r="F317" s="1"/>
      <c r="G317" s="1"/>
      <c r="H317" s="1"/>
      <c r="I317" s="6"/>
      <c r="J317" s="6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1:41" ht="13.5" customHeight="1">
      <c r="A318" s="1"/>
      <c r="B318" s="1"/>
      <c r="C318" s="3"/>
      <c r="D318" s="1"/>
      <c r="E318" s="1"/>
      <c r="F318" s="1"/>
      <c r="G318" s="1"/>
      <c r="H318" s="1"/>
      <c r="I318" s="6"/>
      <c r="J318" s="6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spans="1:41" ht="13.5" customHeight="1">
      <c r="A319" s="1"/>
      <c r="B319" s="1"/>
      <c r="C319" s="3"/>
      <c r="D319" s="1"/>
      <c r="E319" s="1"/>
      <c r="F319" s="1"/>
      <c r="G319" s="1"/>
      <c r="H319" s="1"/>
      <c r="I319" s="6"/>
      <c r="J319" s="6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spans="1:41" ht="13.5" customHeight="1">
      <c r="A320" s="1"/>
      <c r="B320" s="1"/>
      <c r="C320" s="3"/>
      <c r="D320" s="1"/>
      <c r="E320" s="1"/>
      <c r="F320" s="1"/>
      <c r="G320" s="1"/>
      <c r="H320" s="1"/>
      <c r="I320" s="6"/>
      <c r="J320" s="6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 spans="1:41" ht="13.5" customHeight="1">
      <c r="A321" s="1"/>
      <c r="B321" s="1"/>
      <c r="C321" s="3"/>
      <c r="D321" s="1"/>
      <c r="E321" s="1"/>
      <c r="F321" s="1"/>
      <c r="G321" s="1"/>
      <c r="H321" s="1"/>
      <c r="I321" s="6"/>
      <c r="J321" s="6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spans="1:41" ht="13.5" customHeight="1">
      <c r="A322" s="1"/>
      <c r="B322" s="1"/>
      <c r="C322" s="3"/>
      <c r="D322" s="1"/>
      <c r="E322" s="1"/>
      <c r="F322" s="1"/>
      <c r="G322" s="1"/>
      <c r="H322" s="1"/>
      <c r="I322" s="6"/>
      <c r="J322" s="6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 spans="1:41" ht="13.5" customHeight="1">
      <c r="A323" s="1"/>
      <c r="B323" s="1"/>
      <c r="C323" s="3"/>
      <c r="D323" s="1"/>
      <c r="E323" s="1"/>
      <c r="F323" s="1"/>
      <c r="G323" s="1"/>
      <c r="H323" s="1"/>
      <c r="I323" s="6"/>
      <c r="J323" s="6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1:41" ht="13.5" customHeight="1">
      <c r="A324" s="1"/>
      <c r="B324" s="1"/>
      <c r="C324" s="3"/>
      <c r="D324" s="1"/>
      <c r="E324" s="1"/>
      <c r="F324" s="1"/>
      <c r="G324" s="1"/>
      <c r="H324" s="1"/>
      <c r="I324" s="6"/>
      <c r="J324" s="6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spans="1:41" ht="13.5" customHeight="1">
      <c r="A325" s="1"/>
      <c r="B325" s="1"/>
      <c r="C325" s="3"/>
      <c r="D325" s="1"/>
      <c r="E325" s="1"/>
      <c r="F325" s="1"/>
      <c r="G325" s="1"/>
      <c r="H325" s="1"/>
      <c r="I325" s="6"/>
      <c r="J325" s="6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1:41" ht="13.5" customHeight="1">
      <c r="A326" s="1"/>
      <c r="B326" s="1"/>
      <c r="C326" s="3"/>
      <c r="D326" s="1"/>
      <c r="E326" s="1"/>
      <c r="F326" s="1"/>
      <c r="G326" s="1"/>
      <c r="H326" s="1"/>
      <c r="I326" s="6"/>
      <c r="J326" s="6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spans="1:41" ht="13.5" customHeight="1">
      <c r="A327" s="1"/>
      <c r="B327" s="1"/>
      <c r="C327" s="3"/>
      <c r="D327" s="1"/>
      <c r="E327" s="1"/>
      <c r="F327" s="1"/>
      <c r="G327" s="1"/>
      <c r="H327" s="1"/>
      <c r="I327" s="6"/>
      <c r="J327" s="6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 spans="1:41" ht="13.5" customHeight="1">
      <c r="A328" s="1"/>
      <c r="B328" s="1"/>
      <c r="C328" s="3"/>
      <c r="D328" s="1"/>
      <c r="E328" s="1"/>
      <c r="F328" s="1"/>
      <c r="G328" s="1"/>
      <c r="H328" s="1"/>
      <c r="I328" s="6"/>
      <c r="J328" s="6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spans="1:41" ht="13.5" customHeight="1">
      <c r="A329" s="1"/>
      <c r="B329" s="1"/>
      <c r="C329" s="3"/>
      <c r="D329" s="1"/>
      <c r="E329" s="1"/>
      <c r="F329" s="1"/>
      <c r="G329" s="1"/>
      <c r="H329" s="1"/>
      <c r="I329" s="6"/>
      <c r="J329" s="6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1:41" ht="13.5" customHeight="1">
      <c r="A330" s="1"/>
      <c r="B330" s="1"/>
      <c r="C330" s="3"/>
      <c r="D330" s="1"/>
      <c r="E330" s="1"/>
      <c r="F330" s="1"/>
      <c r="G330" s="1"/>
      <c r="H330" s="1"/>
      <c r="I330" s="6"/>
      <c r="J330" s="6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spans="1:41" ht="13.5" customHeight="1">
      <c r="A331" s="1"/>
      <c r="B331" s="1"/>
      <c r="C331" s="3"/>
      <c r="D331" s="1"/>
      <c r="E331" s="1"/>
      <c r="F331" s="1"/>
      <c r="G331" s="1"/>
      <c r="H331" s="1"/>
      <c r="I331" s="6"/>
      <c r="J331" s="6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 spans="1:41" ht="13.5" customHeight="1">
      <c r="A332" s="1"/>
      <c r="B332" s="1"/>
      <c r="C332" s="3"/>
      <c r="D332" s="1"/>
      <c r="E332" s="1"/>
      <c r="F332" s="1"/>
      <c r="G332" s="1"/>
      <c r="H332" s="1"/>
      <c r="I332" s="6"/>
      <c r="J332" s="6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spans="1:41" ht="13.5" customHeight="1">
      <c r="A333" s="1"/>
      <c r="B333" s="1"/>
      <c r="C333" s="3"/>
      <c r="D333" s="1"/>
      <c r="E333" s="1"/>
      <c r="F333" s="1"/>
      <c r="G333" s="1"/>
      <c r="H333" s="1"/>
      <c r="I333" s="6"/>
      <c r="J333" s="6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</row>
    <row r="334" spans="1:41" ht="13.5" customHeight="1">
      <c r="A334" s="1"/>
      <c r="B334" s="1"/>
      <c r="C334" s="3"/>
      <c r="D334" s="1"/>
      <c r="E334" s="1"/>
      <c r="F334" s="1"/>
      <c r="G334" s="1"/>
      <c r="H334" s="1"/>
      <c r="I334" s="6"/>
      <c r="J334" s="6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 spans="1:41" ht="13.5" customHeight="1">
      <c r="A335" s="1"/>
      <c r="B335" s="1"/>
      <c r="C335" s="3"/>
      <c r="D335" s="1"/>
      <c r="E335" s="1"/>
      <c r="F335" s="1"/>
      <c r="G335" s="1"/>
      <c r="H335" s="1"/>
      <c r="I335" s="6"/>
      <c r="J335" s="6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</row>
    <row r="336" spans="1:41" ht="13.5" customHeight="1">
      <c r="A336" s="1"/>
      <c r="B336" s="1"/>
      <c r="C336" s="3"/>
      <c r="D336" s="1"/>
      <c r="E336" s="1"/>
      <c r="F336" s="1"/>
      <c r="G336" s="1"/>
      <c r="H336" s="1"/>
      <c r="I336" s="6"/>
      <c r="J336" s="6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 spans="1:41" ht="13.5" customHeight="1">
      <c r="A337" s="1"/>
      <c r="B337" s="1"/>
      <c r="C337" s="3"/>
      <c r="D337" s="1"/>
      <c r="E337" s="1"/>
      <c r="F337" s="1"/>
      <c r="G337" s="1"/>
      <c r="H337" s="1"/>
      <c r="I337" s="6"/>
      <c r="J337" s="6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spans="1:41" ht="13.5" customHeight="1">
      <c r="A338" s="1"/>
      <c r="B338" s="1"/>
      <c r="C338" s="3"/>
      <c r="D338" s="1"/>
      <c r="E338" s="1"/>
      <c r="F338" s="1"/>
      <c r="G338" s="1"/>
      <c r="H338" s="1"/>
      <c r="I338" s="6"/>
      <c r="J338" s="6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 spans="1:41" ht="13.5" customHeight="1">
      <c r="A339" s="1"/>
      <c r="B339" s="1"/>
      <c r="C339" s="3"/>
      <c r="D339" s="1"/>
      <c r="E339" s="1"/>
      <c r="F339" s="1"/>
      <c r="G339" s="1"/>
      <c r="H339" s="1"/>
      <c r="I339" s="6"/>
      <c r="J339" s="6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1:41" ht="13.5" customHeight="1">
      <c r="A340" s="1"/>
      <c r="B340" s="1"/>
      <c r="C340" s="3"/>
      <c r="D340" s="1"/>
      <c r="E340" s="1"/>
      <c r="F340" s="1"/>
      <c r="G340" s="1"/>
      <c r="H340" s="1"/>
      <c r="I340" s="6"/>
      <c r="J340" s="6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spans="1:41" ht="13.5" customHeight="1">
      <c r="A341" s="1"/>
      <c r="B341" s="1"/>
      <c r="C341" s="3"/>
      <c r="D341" s="1"/>
      <c r="E341" s="1"/>
      <c r="F341" s="1"/>
      <c r="G341" s="1"/>
      <c r="H341" s="1"/>
      <c r="I341" s="6"/>
      <c r="J341" s="6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</row>
    <row r="342" spans="1:41" ht="13.5" customHeight="1">
      <c r="A342" s="1"/>
      <c r="B342" s="1"/>
      <c r="C342" s="3"/>
      <c r="D342" s="1"/>
      <c r="E342" s="1"/>
      <c r="F342" s="1"/>
      <c r="G342" s="1"/>
      <c r="H342" s="1"/>
      <c r="I342" s="6"/>
      <c r="J342" s="6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</row>
    <row r="343" spans="1:41" ht="13.5" customHeight="1">
      <c r="A343" s="1"/>
      <c r="B343" s="1"/>
      <c r="C343" s="3"/>
      <c r="D343" s="1"/>
      <c r="E343" s="1"/>
      <c r="F343" s="1"/>
      <c r="G343" s="1"/>
      <c r="H343" s="1"/>
      <c r="I343" s="6"/>
      <c r="J343" s="6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spans="1:41" ht="13.5" customHeight="1">
      <c r="A344" s="1"/>
      <c r="B344" s="1"/>
      <c r="C344" s="3"/>
      <c r="D344" s="1"/>
      <c r="E344" s="1"/>
      <c r="F344" s="1"/>
      <c r="G344" s="1"/>
      <c r="H344" s="1"/>
      <c r="I344" s="6"/>
      <c r="J344" s="6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5" spans="1:41" ht="13.5" customHeight="1">
      <c r="A345" s="1"/>
      <c r="B345" s="1"/>
      <c r="C345" s="3"/>
      <c r="D345" s="1"/>
      <c r="E345" s="1"/>
      <c r="F345" s="1"/>
      <c r="G345" s="1"/>
      <c r="H345" s="1"/>
      <c r="I345" s="6"/>
      <c r="J345" s="6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</row>
    <row r="346" spans="1:41" ht="13.5" customHeight="1">
      <c r="A346" s="1"/>
      <c r="B346" s="1"/>
      <c r="C346" s="3"/>
      <c r="D346" s="1"/>
      <c r="E346" s="1"/>
      <c r="F346" s="1"/>
      <c r="G346" s="1"/>
      <c r="H346" s="1"/>
      <c r="I346" s="6"/>
      <c r="J346" s="6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</row>
    <row r="347" spans="1:41" ht="13.5" customHeight="1">
      <c r="A347" s="1"/>
      <c r="B347" s="1"/>
      <c r="C347" s="3"/>
      <c r="D347" s="1"/>
      <c r="E347" s="1"/>
      <c r="F347" s="1"/>
      <c r="G347" s="1"/>
      <c r="H347" s="1"/>
      <c r="I347" s="6"/>
      <c r="J347" s="6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</row>
    <row r="348" spans="1:41" ht="13.5" customHeight="1">
      <c r="A348" s="1"/>
      <c r="B348" s="1"/>
      <c r="C348" s="3"/>
      <c r="D348" s="1"/>
      <c r="E348" s="1"/>
      <c r="F348" s="1"/>
      <c r="G348" s="1"/>
      <c r="H348" s="1"/>
      <c r="I348" s="6"/>
      <c r="J348" s="6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spans="1:41" ht="13.5" customHeight="1">
      <c r="A349" s="1"/>
      <c r="B349" s="1"/>
      <c r="C349" s="3"/>
      <c r="D349" s="1"/>
      <c r="E349" s="1"/>
      <c r="F349" s="1"/>
      <c r="G349" s="1"/>
      <c r="H349" s="1"/>
      <c r="I349" s="6"/>
      <c r="J349" s="6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spans="1:41" ht="13.5" customHeight="1">
      <c r="A350" s="1"/>
      <c r="B350" s="1"/>
      <c r="C350" s="3"/>
      <c r="D350" s="1"/>
      <c r="E350" s="1"/>
      <c r="F350" s="1"/>
      <c r="G350" s="1"/>
      <c r="H350" s="1"/>
      <c r="I350" s="6"/>
      <c r="J350" s="6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</row>
    <row r="351" spans="1:41" ht="13.5" customHeight="1">
      <c r="A351" s="1"/>
      <c r="B351" s="1"/>
      <c r="C351" s="3"/>
      <c r="D351" s="1"/>
      <c r="E351" s="1"/>
      <c r="F351" s="1"/>
      <c r="G351" s="1"/>
      <c r="H351" s="1"/>
      <c r="I351" s="6"/>
      <c r="J351" s="6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spans="1:41" ht="13.5" customHeight="1">
      <c r="A352" s="1"/>
      <c r="B352" s="1"/>
      <c r="C352" s="3"/>
      <c r="D352" s="1"/>
      <c r="E352" s="1"/>
      <c r="F352" s="1"/>
      <c r="G352" s="1"/>
      <c r="H352" s="1"/>
      <c r="I352" s="6"/>
      <c r="J352" s="6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spans="1:41" ht="13.5" customHeight="1">
      <c r="A353" s="1"/>
      <c r="B353" s="1"/>
      <c r="C353" s="3"/>
      <c r="D353" s="1"/>
      <c r="E353" s="1"/>
      <c r="F353" s="1"/>
      <c r="G353" s="1"/>
      <c r="H353" s="1"/>
      <c r="I353" s="6"/>
      <c r="J353" s="6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spans="1:41" ht="13.5" customHeight="1">
      <c r="A354" s="1"/>
      <c r="B354" s="1"/>
      <c r="C354" s="3"/>
      <c r="D354" s="1"/>
      <c r="E354" s="1"/>
      <c r="F354" s="1"/>
      <c r="G354" s="1"/>
      <c r="H354" s="1"/>
      <c r="I354" s="6"/>
      <c r="J354" s="6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spans="1:41" ht="13.5" customHeight="1">
      <c r="A355" s="1"/>
      <c r="B355" s="1"/>
      <c r="C355" s="3"/>
      <c r="D355" s="1"/>
      <c r="E355" s="1"/>
      <c r="F355" s="1"/>
      <c r="G355" s="1"/>
      <c r="H355" s="1"/>
      <c r="I355" s="6"/>
      <c r="J355" s="6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</row>
    <row r="356" spans="1:41" ht="13.5" customHeight="1">
      <c r="A356" s="1"/>
      <c r="B356" s="1"/>
      <c r="C356" s="3"/>
      <c r="D356" s="1"/>
      <c r="E356" s="1"/>
      <c r="F356" s="1"/>
      <c r="G356" s="1"/>
      <c r="H356" s="1"/>
      <c r="I356" s="6"/>
      <c r="J356" s="6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</row>
    <row r="357" spans="1:41" ht="13.5" customHeight="1">
      <c r="A357" s="1"/>
      <c r="B357" s="1"/>
      <c r="C357" s="3"/>
      <c r="D357" s="1"/>
      <c r="E357" s="1"/>
      <c r="F357" s="1"/>
      <c r="G357" s="1"/>
      <c r="H357" s="1"/>
      <c r="I357" s="6"/>
      <c r="J357" s="6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</row>
    <row r="358" spans="1:41" ht="13.5" customHeight="1">
      <c r="A358" s="1"/>
      <c r="B358" s="1"/>
      <c r="C358" s="3"/>
      <c r="D358" s="1"/>
      <c r="E358" s="1"/>
      <c r="F358" s="1"/>
      <c r="G358" s="1"/>
      <c r="H358" s="1"/>
      <c r="I358" s="6"/>
      <c r="J358" s="6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</row>
    <row r="359" spans="1:41" ht="13.5" customHeight="1">
      <c r="A359" s="1"/>
      <c r="B359" s="1"/>
      <c r="C359" s="3"/>
      <c r="D359" s="1"/>
      <c r="E359" s="1"/>
      <c r="F359" s="1"/>
      <c r="G359" s="1"/>
      <c r="H359" s="1"/>
      <c r="I359" s="6"/>
      <c r="J359" s="6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</row>
    <row r="360" spans="1:41" ht="13.5" customHeight="1">
      <c r="A360" s="1"/>
      <c r="B360" s="1"/>
      <c r="C360" s="3"/>
      <c r="D360" s="1"/>
      <c r="E360" s="1"/>
      <c r="F360" s="1"/>
      <c r="G360" s="1"/>
      <c r="H360" s="1"/>
      <c r="I360" s="6"/>
      <c r="J360" s="6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</row>
    <row r="361" spans="1:41" ht="13.5" customHeight="1">
      <c r="A361" s="1"/>
      <c r="B361" s="1"/>
      <c r="C361" s="3"/>
      <c r="D361" s="1"/>
      <c r="E361" s="1"/>
      <c r="F361" s="1"/>
      <c r="G361" s="1"/>
      <c r="H361" s="1"/>
      <c r="I361" s="6"/>
      <c r="J361" s="6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spans="1:41" ht="13.5" customHeight="1">
      <c r="A362" s="1"/>
      <c r="B362" s="1"/>
      <c r="C362" s="3"/>
      <c r="D362" s="1"/>
      <c r="E362" s="1"/>
      <c r="F362" s="1"/>
      <c r="G362" s="1"/>
      <c r="H362" s="1"/>
      <c r="I362" s="6"/>
      <c r="J362" s="6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</row>
    <row r="363" spans="1:41" ht="13.5" customHeight="1">
      <c r="A363" s="1"/>
      <c r="B363" s="1"/>
      <c r="C363" s="3"/>
      <c r="D363" s="1"/>
      <c r="E363" s="1"/>
      <c r="F363" s="1"/>
      <c r="G363" s="1"/>
      <c r="H363" s="1"/>
      <c r="I363" s="6"/>
      <c r="J363" s="6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</row>
    <row r="364" spans="1:41" ht="13.5" customHeight="1">
      <c r="A364" s="1"/>
      <c r="B364" s="1"/>
      <c r="C364" s="3"/>
      <c r="D364" s="1"/>
      <c r="E364" s="1"/>
      <c r="F364" s="1"/>
      <c r="G364" s="1"/>
      <c r="H364" s="1"/>
      <c r="I364" s="6"/>
      <c r="J364" s="6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</row>
    <row r="365" spans="1:41" ht="13.5" customHeight="1">
      <c r="A365" s="1"/>
      <c r="B365" s="1"/>
      <c r="C365" s="3"/>
      <c r="D365" s="1"/>
      <c r="E365" s="1"/>
      <c r="F365" s="1"/>
      <c r="G365" s="1"/>
      <c r="H365" s="1"/>
      <c r="I365" s="6"/>
      <c r="J365" s="6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spans="1:41" ht="13.5" customHeight="1">
      <c r="A366" s="1"/>
      <c r="B366" s="1"/>
      <c r="C366" s="3"/>
      <c r="D366" s="1"/>
      <c r="E366" s="1"/>
      <c r="F366" s="1"/>
      <c r="G366" s="1"/>
      <c r="H366" s="1"/>
      <c r="I366" s="6"/>
      <c r="J366" s="6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</row>
    <row r="367" spans="1:41" ht="13.5" customHeight="1">
      <c r="A367" s="1"/>
      <c r="B367" s="1"/>
      <c r="C367" s="3"/>
      <c r="D367" s="1"/>
      <c r="E367" s="1"/>
      <c r="F367" s="1"/>
      <c r="G367" s="1"/>
      <c r="H367" s="1"/>
      <c r="I367" s="6"/>
      <c r="J367" s="6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spans="1:41" ht="13.5" customHeight="1">
      <c r="A368" s="1"/>
      <c r="B368" s="1"/>
      <c r="C368" s="3"/>
      <c r="D368" s="1"/>
      <c r="E368" s="1"/>
      <c r="F368" s="1"/>
      <c r="G368" s="1"/>
      <c r="H368" s="1"/>
      <c r="I368" s="6"/>
      <c r="J368" s="6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</row>
    <row r="369" spans="1:41" ht="13.5" customHeight="1">
      <c r="A369" s="1"/>
      <c r="B369" s="1"/>
      <c r="C369" s="3"/>
      <c r="D369" s="1"/>
      <c r="E369" s="1"/>
      <c r="F369" s="1"/>
      <c r="G369" s="1"/>
      <c r="H369" s="1"/>
      <c r="I369" s="6"/>
      <c r="J369" s="6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</row>
    <row r="370" spans="1:41" ht="13.5" customHeight="1">
      <c r="A370" s="1"/>
      <c r="B370" s="1"/>
      <c r="C370" s="3"/>
      <c r="D370" s="1"/>
      <c r="E370" s="1"/>
      <c r="F370" s="1"/>
      <c r="G370" s="1"/>
      <c r="H370" s="1"/>
      <c r="I370" s="6"/>
      <c r="J370" s="6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spans="1:41" ht="13.5" customHeight="1">
      <c r="A371" s="1"/>
      <c r="B371" s="1"/>
      <c r="C371" s="3"/>
      <c r="D371" s="1"/>
      <c r="E371" s="1"/>
      <c r="F371" s="1"/>
      <c r="G371" s="1"/>
      <c r="H371" s="1"/>
      <c r="I371" s="6"/>
      <c r="J371" s="6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spans="1:41" ht="13.5" customHeight="1">
      <c r="A372" s="1"/>
      <c r="B372" s="1"/>
      <c r="C372" s="3"/>
      <c r="D372" s="1"/>
      <c r="E372" s="1"/>
      <c r="F372" s="1"/>
      <c r="G372" s="1"/>
      <c r="H372" s="1"/>
      <c r="I372" s="6"/>
      <c r="J372" s="6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spans="1:41" ht="13.5" customHeight="1">
      <c r="A373" s="1"/>
      <c r="B373" s="1"/>
      <c r="C373" s="3"/>
      <c r="D373" s="1"/>
      <c r="E373" s="1"/>
      <c r="F373" s="1"/>
      <c r="G373" s="1"/>
      <c r="H373" s="1"/>
      <c r="I373" s="6"/>
      <c r="J373" s="6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</row>
    <row r="374" spans="1:41" ht="13.5" customHeight="1">
      <c r="A374" s="1"/>
      <c r="B374" s="1"/>
      <c r="C374" s="3"/>
      <c r="D374" s="1"/>
      <c r="E374" s="1"/>
      <c r="F374" s="1"/>
      <c r="G374" s="1"/>
      <c r="H374" s="1"/>
      <c r="I374" s="6"/>
      <c r="J374" s="6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</row>
    <row r="375" spans="1:41" ht="13.5" customHeight="1">
      <c r="A375" s="1"/>
      <c r="B375" s="1"/>
      <c r="C375" s="3"/>
      <c r="D375" s="1"/>
      <c r="E375" s="1"/>
      <c r="F375" s="1"/>
      <c r="G375" s="1"/>
      <c r="H375" s="1"/>
      <c r="I375" s="6"/>
      <c r="J375" s="6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</row>
    <row r="376" spans="1:41" ht="13.5" customHeight="1">
      <c r="A376" s="1"/>
      <c r="B376" s="1"/>
      <c r="C376" s="3"/>
      <c r="D376" s="1"/>
      <c r="E376" s="1"/>
      <c r="F376" s="1"/>
      <c r="G376" s="1"/>
      <c r="H376" s="1"/>
      <c r="I376" s="6"/>
      <c r="J376" s="6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spans="1:41" ht="13.5" customHeight="1">
      <c r="A377" s="1"/>
      <c r="B377" s="1"/>
      <c r="C377" s="3"/>
      <c r="D377" s="1"/>
      <c r="E377" s="1"/>
      <c r="F377" s="1"/>
      <c r="G377" s="1"/>
      <c r="H377" s="1"/>
      <c r="I377" s="6"/>
      <c r="J377" s="6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8" spans="1:41" ht="13.5" customHeight="1">
      <c r="A378" s="1"/>
      <c r="B378" s="1"/>
      <c r="C378" s="3"/>
      <c r="D378" s="1"/>
      <c r="E378" s="1"/>
      <c r="F378" s="1"/>
      <c r="G378" s="1"/>
      <c r="H378" s="1"/>
      <c r="I378" s="6"/>
      <c r="J378" s="6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</row>
    <row r="379" spans="1:41" ht="13.5" customHeight="1">
      <c r="A379" s="1"/>
      <c r="B379" s="1"/>
      <c r="C379" s="3"/>
      <c r="D379" s="1"/>
      <c r="E379" s="1"/>
      <c r="F379" s="1"/>
      <c r="G379" s="1"/>
      <c r="H379" s="1"/>
      <c r="I379" s="6"/>
      <c r="J379" s="6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</row>
    <row r="380" spans="1:41" ht="13.5" customHeight="1">
      <c r="A380" s="1"/>
      <c r="B380" s="1"/>
      <c r="C380" s="3"/>
      <c r="D380" s="1"/>
      <c r="E380" s="1"/>
      <c r="F380" s="1"/>
      <c r="G380" s="1"/>
      <c r="H380" s="1"/>
      <c r="I380" s="6"/>
      <c r="J380" s="6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</row>
    <row r="381" spans="1:41" ht="13.5" customHeight="1">
      <c r="A381" s="1"/>
      <c r="B381" s="1"/>
      <c r="C381" s="3"/>
      <c r="D381" s="1"/>
      <c r="E381" s="1"/>
      <c r="F381" s="1"/>
      <c r="G381" s="1"/>
      <c r="H381" s="1"/>
      <c r="I381" s="6"/>
      <c r="J381" s="6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spans="1:41" ht="13.5" customHeight="1">
      <c r="A382" s="1"/>
      <c r="B382" s="1"/>
      <c r="C382" s="3"/>
      <c r="D382" s="1"/>
      <c r="E382" s="1"/>
      <c r="F382" s="1"/>
      <c r="G382" s="1"/>
      <c r="H382" s="1"/>
      <c r="I382" s="6"/>
      <c r="J382" s="6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spans="1:41" ht="13.5" customHeight="1">
      <c r="A383" s="1"/>
      <c r="B383" s="1"/>
      <c r="C383" s="3"/>
      <c r="D383" s="1"/>
      <c r="E383" s="1"/>
      <c r="F383" s="1"/>
      <c r="G383" s="1"/>
      <c r="H383" s="1"/>
      <c r="I383" s="6"/>
      <c r="J383" s="6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spans="1:41" ht="13.5" customHeight="1">
      <c r="A384" s="1"/>
      <c r="B384" s="1"/>
      <c r="C384" s="3"/>
      <c r="D384" s="1"/>
      <c r="E384" s="1"/>
      <c r="F384" s="1"/>
      <c r="G384" s="1"/>
      <c r="H384" s="1"/>
      <c r="I384" s="6"/>
      <c r="J384" s="6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</row>
    <row r="385" spans="1:41" ht="13.5" customHeight="1">
      <c r="A385" s="1"/>
      <c r="B385" s="1"/>
      <c r="C385" s="3"/>
      <c r="D385" s="1"/>
      <c r="E385" s="1"/>
      <c r="F385" s="1"/>
      <c r="G385" s="1"/>
      <c r="H385" s="1"/>
      <c r="I385" s="6"/>
      <c r="J385" s="6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</row>
    <row r="386" spans="1:41" ht="13.5" customHeight="1">
      <c r="A386" s="1"/>
      <c r="B386" s="1"/>
      <c r="C386" s="3"/>
      <c r="D386" s="1"/>
      <c r="E386" s="1"/>
      <c r="F386" s="1"/>
      <c r="G386" s="1"/>
      <c r="H386" s="1"/>
      <c r="I386" s="6"/>
      <c r="J386" s="6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</row>
    <row r="387" spans="1:41" ht="13.5" customHeight="1">
      <c r="A387" s="1"/>
      <c r="B387" s="1"/>
      <c r="C387" s="3"/>
      <c r="D387" s="1"/>
      <c r="E387" s="1"/>
      <c r="F387" s="1"/>
      <c r="G387" s="1"/>
      <c r="H387" s="1"/>
      <c r="I387" s="6"/>
      <c r="J387" s="6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</row>
    <row r="388" spans="1:41" ht="13.5" customHeight="1">
      <c r="A388" s="1"/>
      <c r="B388" s="1"/>
      <c r="C388" s="3"/>
      <c r="D388" s="1"/>
      <c r="E388" s="1"/>
      <c r="F388" s="1"/>
      <c r="G388" s="1"/>
      <c r="H388" s="1"/>
      <c r="I388" s="6"/>
      <c r="J388" s="6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spans="1:41" ht="13.5" customHeight="1">
      <c r="A389" s="1"/>
      <c r="B389" s="1"/>
      <c r="C389" s="3"/>
      <c r="D389" s="1"/>
      <c r="E389" s="1"/>
      <c r="F389" s="1"/>
      <c r="G389" s="1"/>
      <c r="H389" s="1"/>
      <c r="I389" s="6"/>
      <c r="J389" s="6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spans="1:41" ht="13.5" customHeight="1">
      <c r="A390" s="1"/>
      <c r="B390" s="1"/>
      <c r="C390" s="3"/>
      <c r="D390" s="1"/>
      <c r="E390" s="1"/>
      <c r="F390" s="1"/>
      <c r="G390" s="1"/>
      <c r="H390" s="1"/>
      <c r="I390" s="6"/>
      <c r="J390" s="6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spans="1:41" ht="13.5" customHeight="1">
      <c r="A391" s="1"/>
      <c r="B391" s="1"/>
      <c r="C391" s="3"/>
      <c r="D391" s="1"/>
      <c r="E391" s="1"/>
      <c r="F391" s="1"/>
      <c r="G391" s="1"/>
      <c r="H391" s="1"/>
      <c r="I391" s="6"/>
      <c r="J391" s="6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spans="1:41" ht="13.5" customHeight="1">
      <c r="A392" s="1"/>
      <c r="B392" s="1"/>
      <c r="C392" s="3"/>
      <c r="D392" s="1"/>
      <c r="E392" s="1"/>
      <c r="F392" s="1"/>
      <c r="G392" s="1"/>
      <c r="H392" s="1"/>
      <c r="I392" s="6"/>
      <c r="J392" s="6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spans="1:41" ht="13.5" customHeight="1">
      <c r="A393" s="1"/>
      <c r="B393" s="1"/>
      <c r="C393" s="3"/>
      <c r="D393" s="1"/>
      <c r="E393" s="1"/>
      <c r="F393" s="1"/>
      <c r="G393" s="1"/>
      <c r="H393" s="1"/>
      <c r="I393" s="6"/>
      <c r="J393" s="6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spans="1:41" ht="13.5" customHeight="1">
      <c r="A394" s="1"/>
      <c r="B394" s="1"/>
      <c r="C394" s="3"/>
      <c r="D394" s="1"/>
      <c r="E394" s="1"/>
      <c r="F394" s="1"/>
      <c r="G394" s="1"/>
      <c r="H394" s="1"/>
      <c r="I394" s="6"/>
      <c r="J394" s="6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</row>
    <row r="395" spans="1:41" ht="13.5" customHeight="1">
      <c r="A395" s="1"/>
      <c r="B395" s="1"/>
      <c r="C395" s="3"/>
      <c r="D395" s="1"/>
      <c r="E395" s="1"/>
      <c r="F395" s="1"/>
      <c r="G395" s="1"/>
      <c r="H395" s="1"/>
      <c r="I395" s="6"/>
      <c r="J395" s="6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spans="1:41" ht="13.5" customHeight="1">
      <c r="A396" s="1"/>
      <c r="B396" s="1"/>
      <c r="C396" s="3"/>
      <c r="D396" s="1"/>
      <c r="E396" s="1"/>
      <c r="F396" s="1"/>
      <c r="G396" s="1"/>
      <c r="H396" s="1"/>
      <c r="I396" s="6"/>
      <c r="J396" s="6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</row>
    <row r="397" spans="1:41" ht="13.5" customHeight="1">
      <c r="A397" s="1"/>
      <c r="B397" s="1"/>
      <c r="C397" s="3"/>
      <c r="D397" s="1"/>
      <c r="E397" s="1"/>
      <c r="F397" s="1"/>
      <c r="G397" s="1"/>
      <c r="H397" s="1"/>
      <c r="I397" s="6"/>
      <c r="J397" s="6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spans="1:41" ht="13.5" customHeight="1">
      <c r="A398" s="1"/>
      <c r="B398" s="1"/>
      <c r="C398" s="3"/>
      <c r="D398" s="1"/>
      <c r="E398" s="1"/>
      <c r="F398" s="1"/>
      <c r="G398" s="1"/>
      <c r="H398" s="1"/>
      <c r="I398" s="6"/>
      <c r="J398" s="6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spans="1:41" ht="13.5" customHeight="1">
      <c r="A399" s="1"/>
      <c r="B399" s="1"/>
      <c r="C399" s="3"/>
      <c r="D399" s="1"/>
      <c r="E399" s="1"/>
      <c r="F399" s="1"/>
      <c r="G399" s="1"/>
      <c r="H399" s="1"/>
      <c r="I399" s="6"/>
      <c r="J399" s="6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</row>
    <row r="400" spans="1:41" ht="13.5" customHeight="1">
      <c r="A400" s="1"/>
      <c r="B400" s="1"/>
      <c r="C400" s="3"/>
      <c r="D400" s="1"/>
      <c r="E400" s="1"/>
      <c r="F400" s="1"/>
      <c r="G400" s="1"/>
      <c r="H400" s="1"/>
      <c r="I400" s="6"/>
      <c r="J400" s="6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spans="1:41" ht="13.5" customHeight="1">
      <c r="A401" s="1"/>
      <c r="B401" s="1"/>
      <c r="C401" s="3"/>
      <c r="D401" s="1"/>
      <c r="E401" s="1"/>
      <c r="F401" s="1"/>
      <c r="G401" s="1"/>
      <c r="H401" s="1"/>
      <c r="I401" s="6"/>
      <c r="J401" s="6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spans="1:41" ht="13.5" customHeight="1">
      <c r="A402" s="1"/>
      <c r="B402" s="1"/>
      <c r="C402" s="3"/>
      <c r="D402" s="1"/>
      <c r="E402" s="1"/>
      <c r="F402" s="1"/>
      <c r="G402" s="1"/>
      <c r="H402" s="1"/>
      <c r="I402" s="6"/>
      <c r="J402" s="6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</row>
    <row r="403" spans="1:41" ht="13.5" customHeight="1">
      <c r="A403" s="1"/>
      <c r="B403" s="1"/>
      <c r="C403" s="3"/>
      <c r="D403" s="1"/>
      <c r="E403" s="1"/>
      <c r="F403" s="1"/>
      <c r="G403" s="1"/>
      <c r="H403" s="1"/>
      <c r="I403" s="6"/>
      <c r="J403" s="6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</row>
    <row r="404" spans="1:41" ht="13.5" customHeight="1">
      <c r="A404" s="1"/>
      <c r="B404" s="1"/>
      <c r="C404" s="3"/>
      <c r="D404" s="1"/>
      <c r="E404" s="1"/>
      <c r="F404" s="1"/>
      <c r="G404" s="1"/>
      <c r="H404" s="1"/>
      <c r="I404" s="6"/>
      <c r="J404" s="6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</row>
    <row r="405" spans="1:41" ht="13.5" customHeight="1">
      <c r="A405" s="1"/>
      <c r="B405" s="1"/>
      <c r="C405" s="3"/>
      <c r="D405" s="1"/>
      <c r="E405" s="1"/>
      <c r="F405" s="1"/>
      <c r="G405" s="1"/>
      <c r="H405" s="1"/>
      <c r="I405" s="6"/>
      <c r="J405" s="6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</row>
    <row r="406" spans="1:41" ht="13.5" customHeight="1">
      <c r="A406" s="1"/>
      <c r="B406" s="1"/>
      <c r="C406" s="3"/>
      <c r="D406" s="1"/>
      <c r="E406" s="1"/>
      <c r="F406" s="1"/>
      <c r="G406" s="1"/>
      <c r="H406" s="1"/>
      <c r="I406" s="6"/>
      <c r="J406" s="6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spans="1:41" ht="13.5" customHeight="1">
      <c r="A407" s="1"/>
      <c r="B407" s="1"/>
      <c r="C407" s="3"/>
      <c r="D407" s="1"/>
      <c r="E407" s="1"/>
      <c r="F407" s="1"/>
      <c r="G407" s="1"/>
      <c r="H407" s="1"/>
      <c r="I407" s="6"/>
      <c r="J407" s="6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</row>
    <row r="408" spans="1:41" ht="13.5" customHeight="1">
      <c r="A408" s="1"/>
      <c r="B408" s="1"/>
      <c r="C408" s="3"/>
      <c r="D408" s="1"/>
      <c r="E408" s="1"/>
      <c r="F408" s="1"/>
      <c r="G408" s="1"/>
      <c r="H408" s="1"/>
      <c r="I408" s="6"/>
      <c r="J408" s="6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</row>
    <row r="409" spans="1:41" ht="13.5" customHeight="1">
      <c r="A409" s="1"/>
      <c r="B409" s="1"/>
      <c r="C409" s="3"/>
      <c r="D409" s="1"/>
      <c r="E409" s="1"/>
      <c r="F409" s="1"/>
      <c r="G409" s="1"/>
      <c r="H409" s="1"/>
      <c r="I409" s="6"/>
      <c r="J409" s="6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</row>
    <row r="410" spans="1:41" ht="13.5" customHeight="1">
      <c r="A410" s="1"/>
      <c r="B410" s="1"/>
      <c r="C410" s="3"/>
      <c r="D410" s="1"/>
      <c r="E410" s="1"/>
      <c r="F410" s="1"/>
      <c r="G410" s="1"/>
      <c r="H410" s="1"/>
      <c r="I410" s="6"/>
      <c r="J410" s="6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1" spans="1:41" ht="13.5" customHeight="1">
      <c r="A411" s="1"/>
      <c r="B411" s="1"/>
      <c r="C411" s="3"/>
      <c r="D411" s="1"/>
      <c r="E411" s="1"/>
      <c r="F411" s="1"/>
      <c r="G411" s="1"/>
      <c r="H411" s="1"/>
      <c r="I411" s="6"/>
      <c r="J411" s="6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</row>
    <row r="412" spans="1:41" ht="13.5" customHeight="1">
      <c r="A412" s="1"/>
      <c r="B412" s="1"/>
      <c r="C412" s="3"/>
      <c r="D412" s="1"/>
      <c r="E412" s="1"/>
      <c r="F412" s="1"/>
      <c r="G412" s="1"/>
      <c r="H412" s="1"/>
      <c r="I412" s="6"/>
      <c r="J412" s="6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</row>
    <row r="413" spans="1:41" ht="13.5" customHeight="1">
      <c r="A413" s="1"/>
      <c r="B413" s="1"/>
      <c r="C413" s="3"/>
      <c r="D413" s="1"/>
      <c r="E413" s="1"/>
      <c r="F413" s="1"/>
      <c r="G413" s="1"/>
      <c r="H413" s="1"/>
      <c r="I413" s="6"/>
      <c r="J413" s="6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</row>
    <row r="414" spans="1:41" ht="13.5" customHeight="1">
      <c r="A414" s="1"/>
      <c r="B414" s="1"/>
      <c r="C414" s="3"/>
      <c r="D414" s="1"/>
      <c r="E414" s="1"/>
      <c r="F414" s="1"/>
      <c r="G414" s="1"/>
      <c r="H414" s="1"/>
      <c r="I414" s="6"/>
      <c r="J414" s="6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</row>
    <row r="415" spans="1:41" ht="13.5" customHeight="1">
      <c r="A415" s="1"/>
      <c r="B415" s="1"/>
      <c r="C415" s="3"/>
      <c r="D415" s="1"/>
      <c r="E415" s="1"/>
      <c r="F415" s="1"/>
      <c r="G415" s="1"/>
      <c r="H415" s="1"/>
      <c r="I415" s="6"/>
      <c r="J415" s="6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</row>
    <row r="416" spans="1:41" ht="13.5" customHeight="1">
      <c r="A416" s="1"/>
      <c r="B416" s="1"/>
      <c r="C416" s="3"/>
      <c r="D416" s="1"/>
      <c r="E416" s="1"/>
      <c r="F416" s="1"/>
      <c r="G416" s="1"/>
      <c r="H416" s="1"/>
      <c r="I416" s="6"/>
      <c r="J416" s="6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</row>
    <row r="417" spans="1:41" ht="13.5" customHeight="1">
      <c r="A417" s="1"/>
      <c r="B417" s="1"/>
      <c r="C417" s="3"/>
      <c r="D417" s="1"/>
      <c r="E417" s="1"/>
      <c r="F417" s="1"/>
      <c r="G417" s="1"/>
      <c r="H417" s="1"/>
      <c r="I417" s="6"/>
      <c r="J417" s="6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</row>
    <row r="418" spans="1:41" ht="13.5" customHeight="1">
      <c r="A418" s="1"/>
      <c r="B418" s="1"/>
      <c r="C418" s="3"/>
      <c r="D418" s="1"/>
      <c r="E418" s="1"/>
      <c r="F418" s="1"/>
      <c r="G418" s="1"/>
      <c r="H418" s="1"/>
      <c r="I418" s="6"/>
      <c r="J418" s="6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</row>
    <row r="419" spans="1:41" ht="13.5" customHeight="1">
      <c r="A419" s="1"/>
      <c r="B419" s="1"/>
      <c r="C419" s="3"/>
      <c r="D419" s="1"/>
      <c r="E419" s="1"/>
      <c r="F419" s="1"/>
      <c r="G419" s="1"/>
      <c r="H419" s="1"/>
      <c r="I419" s="6"/>
      <c r="J419" s="6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spans="1:41" ht="13.5" customHeight="1">
      <c r="A420" s="1"/>
      <c r="B420" s="1"/>
      <c r="C420" s="3"/>
      <c r="D420" s="1"/>
      <c r="E420" s="1"/>
      <c r="F420" s="1"/>
      <c r="G420" s="1"/>
      <c r="H420" s="1"/>
      <c r="I420" s="6"/>
      <c r="J420" s="6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</row>
    <row r="421" spans="1:41" ht="13.5" customHeight="1">
      <c r="A421" s="1"/>
      <c r="B421" s="1"/>
      <c r="C421" s="3"/>
      <c r="D421" s="1"/>
      <c r="E421" s="1"/>
      <c r="F421" s="1"/>
      <c r="G421" s="1"/>
      <c r="H421" s="1"/>
      <c r="I421" s="6"/>
      <c r="J421" s="6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</row>
    <row r="422" spans="1:41" ht="13.5" customHeight="1">
      <c r="A422" s="1"/>
      <c r="B422" s="1"/>
      <c r="C422" s="3"/>
      <c r="D422" s="1"/>
      <c r="E422" s="1"/>
      <c r="F422" s="1"/>
      <c r="G422" s="1"/>
      <c r="H422" s="1"/>
      <c r="I422" s="6"/>
      <c r="J422" s="6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spans="1:41" ht="13.5" customHeight="1">
      <c r="A423" s="1"/>
      <c r="B423" s="1"/>
      <c r="C423" s="3"/>
      <c r="D423" s="1"/>
      <c r="E423" s="1"/>
      <c r="F423" s="1"/>
      <c r="G423" s="1"/>
      <c r="H423" s="1"/>
      <c r="I423" s="6"/>
      <c r="J423" s="6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</row>
    <row r="424" spans="1:41" ht="13.5" customHeight="1">
      <c r="A424" s="1"/>
      <c r="B424" s="1"/>
      <c r="C424" s="3"/>
      <c r="D424" s="1"/>
      <c r="E424" s="1"/>
      <c r="F424" s="1"/>
      <c r="G424" s="1"/>
      <c r="H424" s="1"/>
      <c r="I424" s="6"/>
      <c r="J424" s="6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</row>
    <row r="425" spans="1:41" ht="13.5" customHeight="1">
      <c r="A425" s="1"/>
      <c r="B425" s="1"/>
      <c r="C425" s="3"/>
      <c r="D425" s="1"/>
      <c r="E425" s="1"/>
      <c r="F425" s="1"/>
      <c r="G425" s="1"/>
      <c r="H425" s="1"/>
      <c r="I425" s="6"/>
      <c r="J425" s="6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</row>
    <row r="426" spans="1:41" ht="13.5" customHeight="1">
      <c r="A426" s="1"/>
      <c r="B426" s="1"/>
      <c r="C426" s="3"/>
      <c r="D426" s="1"/>
      <c r="E426" s="1"/>
      <c r="F426" s="1"/>
      <c r="G426" s="1"/>
      <c r="H426" s="1"/>
      <c r="I426" s="6"/>
      <c r="J426" s="6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</row>
    <row r="427" spans="1:41" ht="13.5" customHeight="1">
      <c r="A427" s="1"/>
      <c r="B427" s="1"/>
      <c r="C427" s="3"/>
      <c r="D427" s="1"/>
      <c r="E427" s="1"/>
      <c r="F427" s="1"/>
      <c r="G427" s="1"/>
      <c r="H427" s="1"/>
      <c r="I427" s="6"/>
      <c r="J427" s="6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</row>
    <row r="428" spans="1:41" ht="13.5" customHeight="1">
      <c r="A428" s="1"/>
      <c r="B428" s="1"/>
      <c r="C428" s="3"/>
      <c r="D428" s="1"/>
      <c r="E428" s="1"/>
      <c r="F428" s="1"/>
      <c r="G428" s="1"/>
      <c r="H428" s="1"/>
      <c r="I428" s="6"/>
      <c r="J428" s="6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</row>
    <row r="429" spans="1:41" ht="13.5" customHeight="1">
      <c r="A429" s="1"/>
      <c r="B429" s="1"/>
      <c r="C429" s="3"/>
      <c r="D429" s="1"/>
      <c r="E429" s="1"/>
      <c r="F429" s="1"/>
      <c r="G429" s="1"/>
      <c r="H429" s="1"/>
      <c r="I429" s="6"/>
      <c r="J429" s="6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</row>
    <row r="430" spans="1:41" ht="13.5" customHeight="1">
      <c r="A430" s="1"/>
      <c r="B430" s="1"/>
      <c r="C430" s="3"/>
      <c r="D430" s="1"/>
      <c r="E430" s="1"/>
      <c r="F430" s="1"/>
      <c r="G430" s="1"/>
      <c r="H430" s="1"/>
      <c r="I430" s="6"/>
      <c r="J430" s="6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</row>
    <row r="431" spans="1:41" ht="13.5" customHeight="1">
      <c r="A431" s="1"/>
      <c r="B431" s="1"/>
      <c r="C431" s="3"/>
      <c r="D431" s="1"/>
      <c r="E431" s="1"/>
      <c r="F431" s="1"/>
      <c r="G431" s="1"/>
      <c r="H431" s="1"/>
      <c r="I431" s="6"/>
      <c r="J431" s="6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</row>
    <row r="432" spans="1:41" ht="13.5" customHeight="1">
      <c r="A432" s="1"/>
      <c r="B432" s="1"/>
      <c r="C432" s="3"/>
      <c r="D432" s="1"/>
      <c r="E432" s="1"/>
      <c r="F432" s="1"/>
      <c r="G432" s="1"/>
      <c r="H432" s="1"/>
      <c r="I432" s="6"/>
      <c r="J432" s="6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</row>
    <row r="433" spans="1:41" ht="13.5" customHeight="1">
      <c r="A433" s="1"/>
      <c r="B433" s="1"/>
      <c r="C433" s="3"/>
      <c r="D433" s="1"/>
      <c r="E433" s="1"/>
      <c r="F433" s="1"/>
      <c r="G433" s="1"/>
      <c r="H433" s="1"/>
      <c r="I433" s="6"/>
      <c r="J433" s="6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spans="1:41" ht="13.5" customHeight="1">
      <c r="A434" s="1"/>
      <c r="B434" s="1"/>
      <c r="C434" s="3"/>
      <c r="D434" s="1"/>
      <c r="E434" s="1"/>
      <c r="F434" s="1"/>
      <c r="G434" s="1"/>
      <c r="H434" s="1"/>
      <c r="I434" s="6"/>
      <c r="J434" s="6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</row>
    <row r="435" spans="1:41" ht="13.5" customHeight="1">
      <c r="A435" s="1"/>
      <c r="B435" s="1"/>
      <c r="C435" s="3"/>
      <c r="D435" s="1"/>
      <c r="E435" s="1"/>
      <c r="F435" s="1"/>
      <c r="G435" s="1"/>
      <c r="H435" s="1"/>
      <c r="I435" s="6"/>
      <c r="J435" s="6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spans="1:41" ht="13.5" customHeight="1">
      <c r="A436" s="1"/>
      <c r="B436" s="1"/>
      <c r="C436" s="3"/>
      <c r="D436" s="1"/>
      <c r="E436" s="1"/>
      <c r="F436" s="1"/>
      <c r="G436" s="1"/>
      <c r="H436" s="1"/>
      <c r="I436" s="6"/>
      <c r="J436" s="6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spans="1:41" ht="13.5" customHeight="1">
      <c r="A437" s="1"/>
      <c r="B437" s="1"/>
      <c r="C437" s="3"/>
      <c r="D437" s="1"/>
      <c r="E437" s="1"/>
      <c r="F437" s="1"/>
      <c r="G437" s="1"/>
      <c r="H437" s="1"/>
      <c r="I437" s="6"/>
      <c r="J437" s="6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</row>
    <row r="438" spans="1:41" ht="13.5" customHeight="1">
      <c r="A438" s="1"/>
      <c r="B438" s="1"/>
      <c r="C438" s="3"/>
      <c r="D438" s="1"/>
      <c r="E438" s="1"/>
      <c r="F438" s="1"/>
      <c r="G438" s="1"/>
      <c r="H438" s="1"/>
      <c r="I438" s="6"/>
      <c r="J438" s="6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</row>
    <row r="439" spans="1:41" ht="13.5" customHeight="1">
      <c r="A439" s="1"/>
      <c r="B439" s="1"/>
      <c r="C439" s="3"/>
      <c r="D439" s="1"/>
      <c r="E439" s="1"/>
      <c r="F439" s="1"/>
      <c r="G439" s="1"/>
      <c r="H439" s="1"/>
      <c r="I439" s="6"/>
      <c r="J439" s="6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spans="1:41" ht="13.5" customHeight="1">
      <c r="A440" s="1"/>
      <c r="B440" s="1"/>
      <c r="C440" s="3"/>
      <c r="D440" s="1"/>
      <c r="E440" s="1"/>
      <c r="F440" s="1"/>
      <c r="G440" s="1"/>
      <c r="H440" s="1"/>
      <c r="I440" s="6"/>
      <c r="J440" s="6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spans="1:41" ht="13.5" customHeight="1">
      <c r="A441" s="1"/>
      <c r="B441" s="1"/>
      <c r="C441" s="3"/>
      <c r="D441" s="1"/>
      <c r="E441" s="1"/>
      <c r="F441" s="1"/>
      <c r="G441" s="1"/>
      <c r="H441" s="1"/>
      <c r="I441" s="6"/>
      <c r="J441" s="6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spans="1:41" ht="13.5" customHeight="1">
      <c r="A442" s="1"/>
      <c r="B442" s="1"/>
      <c r="C442" s="3"/>
      <c r="D442" s="1"/>
      <c r="E442" s="1"/>
      <c r="F442" s="1"/>
      <c r="G442" s="1"/>
      <c r="H442" s="1"/>
      <c r="I442" s="6"/>
      <c r="J442" s="6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</row>
    <row r="443" spans="1:41" ht="13.5" customHeight="1">
      <c r="A443" s="1"/>
      <c r="B443" s="1"/>
      <c r="C443" s="3"/>
      <c r="D443" s="1"/>
      <c r="E443" s="1"/>
      <c r="F443" s="1"/>
      <c r="G443" s="1"/>
      <c r="H443" s="1"/>
      <c r="I443" s="6"/>
      <c r="J443" s="6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spans="1:41" ht="13.5" customHeight="1">
      <c r="A444" s="1"/>
      <c r="B444" s="1"/>
      <c r="C444" s="3"/>
      <c r="D444" s="1"/>
      <c r="E444" s="1"/>
      <c r="F444" s="1"/>
      <c r="G444" s="1"/>
      <c r="H444" s="1"/>
      <c r="I444" s="6"/>
      <c r="J444" s="6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spans="1:41" ht="13.5" customHeight="1">
      <c r="A445" s="1"/>
      <c r="B445" s="1"/>
      <c r="C445" s="3"/>
      <c r="D445" s="1"/>
      <c r="E445" s="1"/>
      <c r="F445" s="1"/>
      <c r="G445" s="1"/>
      <c r="H445" s="1"/>
      <c r="I445" s="6"/>
      <c r="J445" s="6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spans="1:41" ht="13.5" customHeight="1">
      <c r="A446" s="1"/>
      <c r="B446" s="1"/>
      <c r="C446" s="3"/>
      <c r="D446" s="1"/>
      <c r="E446" s="1"/>
      <c r="F446" s="1"/>
      <c r="G446" s="1"/>
      <c r="H446" s="1"/>
      <c r="I446" s="6"/>
      <c r="J446" s="6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</row>
    <row r="447" spans="1:41" ht="13.5" customHeight="1">
      <c r="A447" s="1"/>
      <c r="B447" s="1"/>
      <c r="C447" s="3"/>
      <c r="D447" s="1"/>
      <c r="E447" s="1"/>
      <c r="F447" s="1"/>
      <c r="G447" s="1"/>
      <c r="H447" s="1"/>
      <c r="I447" s="6"/>
      <c r="J447" s="6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</row>
    <row r="448" spans="1:41" ht="13.5" customHeight="1">
      <c r="A448" s="1"/>
      <c r="B448" s="1"/>
      <c r="C448" s="3"/>
      <c r="D448" s="1"/>
      <c r="E448" s="1"/>
      <c r="F448" s="1"/>
      <c r="G448" s="1"/>
      <c r="H448" s="1"/>
      <c r="I448" s="6"/>
      <c r="J448" s="6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</row>
    <row r="449" spans="1:41" ht="13.5" customHeight="1">
      <c r="A449" s="1"/>
      <c r="B449" s="1"/>
      <c r="C449" s="3"/>
      <c r="D449" s="1"/>
      <c r="E449" s="1"/>
      <c r="F449" s="1"/>
      <c r="G449" s="1"/>
      <c r="H449" s="1"/>
      <c r="I449" s="6"/>
      <c r="J449" s="6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spans="1:41" ht="13.5" customHeight="1">
      <c r="A450" s="1"/>
      <c r="B450" s="1"/>
      <c r="C450" s="3"/>
      <c r="D450" s="1"/>
      <c r="E450" s="1"/>
      <c r="F450" s="1"/>
      <c r="G450" s="1"/>
      <c r="H450" s="1"/>
      <c r="I450" s="6"/>
      <c r="J450" s="6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1:41" ht="13.5" customHeight="1">
      <c r="A451" s="1"/>
      <c r="B451" s="1"/>
      <c r="C451" s="3"/>
      <c r="D451" s="1"/>
      <c r="E451" s="1"/>
      <c r="F451" s="1"/>
      <c r="G451" s="1"/>
      <c r="H451" s="1"/>
      <c r="I451" s="6"/>
      <c r="J451" s="6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</row>
    <row r="452" spans="1:41" ht="13.5" customHeight="1">
      <c r="A452" s="1"/>
      <c r="B452" s="1"/>
      <c r="C452" s="3"/>
      <c r="D452" s="1"/>
      <c r="E452" s="1"/>
      <c r="F452" s="1"/>
      <c r="G452" s="1"/>
      <c r="H452" s="1"/>
      <c r="I452" s="6"/>
      <c r="J452" s="6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</row>
    <row r="453" spans="1:41" ht="13.5" customHeight="1">
      <c r="A453" s="1"/>
      <c r="B453" s="1"/>
      <c r="C453" s="3"/>
      <c r="D453" s="1"/>
      <c r="E453" s="1"/>
      <c r="F453" s="1"/>
      <c r="G453" s="1"/>
      <c r="H453" s="1"/>
      <c r="I453" s="6"/>
      <c r="J453" s="6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spans="1:41" ht="13.5" customHeight="1">
      <c r="A454" s="1"/>
      <c r="B454" s="1"/>
      <c r="C454" s="3"/>
      <c r="D454" s="1"/>
      <c r="E454" s="1"/>
      <c r="F454" s="1"/>
      <c r="G454" s="1"/>
      <c r="H454" s="1"/>
      <c r="I454" s="6"/>
      <c r="J454" s="6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1:41" ht="13.5" customHeight="1">
      <c r="A455" s="1"/>
      <c r="B455" s="1"/>
      <c r="C455" s="3"/>
      <c r="D455" s="1"/>
      <c r="E455" s="1"/>
      <c r="F455" s="1"/>
      <c r="G455" s="1"/>
      <c r="H455" s="1"/>
      <c r="I455" s="6"/>
      <c r="J455" s="6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</row>
    <row r="456" spans="1:41" ht="13.5" customHeight="1">
      <c r="A456" s="1"/>
      <c r="B456" s="1"/>
      <c r="C456" s="3"/>
      <c r="D456" s="1"/>
      <c r="E456" s="1"/>
      <c r="F456" s="1"/>
      <c r="G456" s="1"/>
      <c r="H456" s="1"/>
      <c r="I456" s="6"/>
      <c r="J456" s="6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1:41" ht="13.5" customHeight="1">
      <c r="A457" s="1"/>
      <c r="B457" s="1"/>
      <c r="C457" s="3"/>
      <c r="D457" s="1"/>
      <c r="E457" s="1"/>
      <c r="F457" s="1"/>
      <c r="G457" s="1"/>
      <c r="H457" s="1"/>
      <c r="I457" s="6"/>
      <c r="J457" s="6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</row>
    <row r="458" spans="1:41" ht="13.5" customHeight="1">
      <c r="A458" s="1"/>
      <c r="B458" s="1"/>
      <c r="C458" s="3"/>
      <c r="D458" s="1"/>
      <c r="E458" s="1"/>
      <c r="F458" s="1"/>
      <c r="G458" s="1"/>
      <c r="H458" s="1"/>
      <c r="I458" s="6"/>
      <c r="J458" s="6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spans="1:41" ht="13.5" customHeight="1">
      <c r="A459" s="1"/>
      <c r="B459" s="1"/>
      <c r="C459" s="3"/>
      <c r="D459" s="1"/>
      <c r="E459" s="1"/>
      <c r="F459" s="1"/>
      <c r="G459" s="1"/>
      <c r="H459" s="1"/>
      <c r="I459" s="6"/>
      <c r="J459" s="6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</row>
    <row r="460" spans="1:41" ht="13.5" customHeight="1">
      <c r="A460" s="1"/>
      <c r="B460" s="1"/>
      <c r="C460" s="3"/>
      <c r="D460" s="1"/>
      <c r="E460" s="1"/>
      <c r="F460" s="1"/>
      <c r="G460" s="1"/>
      <c r="H460" s="1"/>
      <c r="I460" s="6"/>
      <c r="J460" s="6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1:41" ht="13.5" customHeight="1">
      <c r="A461" s="1"/>
      <c r="B461" s="1"/>
      <c r="C461" s="3"/>
      <c r="D461" s="1"/>
      <c r="E461" s="1"/>
      <c r="F461" s="1"/>
      <c r="G461" s="1"/>
      <c r="H461" s="1"/>
      <c r="I461" s="6"/>
      <c r="J461" s="6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1:41" ht="13.5" customHeight="1">
      <c r="A462" s="1"/>
      <c r="B462" s="1"/>
      <c r="C462" s="3"/>
      <c r="D462" s="1"/>
      <c r="E462" s="1"/>
      <c r="F462" s="1"/>
      <c r="G462" s="1"/>
      <c r="H462" s="1"/>
      <c r="I462" s="6"/>
      <c r="J462" s="6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1:41" ht="13.5" customHeight="1">
      <c r="A463" s="1"/>
      <c r="B463" s="1"/>
      <c r="C463" s="3"/>
      <c r="D463" s="1"/>
      <c r="E463" s="1"/>
      <c r="F463" s="1"/>
      <c r="G463" s="1"/>
      <c r="H463" s="1"/>
      <c r="I463" s="6"/>
      <c r="J463" s="6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1:41" ht="13.5" customHeight="1">
      <c r="A464" s="1"/>
      <c r="B464" s="1"/>
      <c r="C464" s="3"/>
      <c r="D464" s="1"/>
      <c r="E464" s="1"/>
      <c r="F464" s="1"/>
      <c r="G464" s="1"/>
      <c r="H464" s="1"/>
      <c r="I464" s="6"/>
      <c r="J464" s="6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1:41" ht="13.5" customHeight="1">
      <c r="A465" s="1"/>
      <c r="B465" s="1"/>
      <c r="C465" s="3"/>
      <c r="D465" s="1"/>
      <c r="E465" s="1"/>
      <c r="F465" s="1"/>
      <c r="G465" s="1"/>
      <c r="H465" s="1"/>
      <c r="I465" s="6"/>
      <c r="J465" s="6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1:41" ht="13.5" customHeight="1">
      <c r="A466" s="1"/>
      <c r="B466" s="1"/>
      <c r="C466" s="3"/>
      <c r="D466" s="1"/>
      <c r="E466" s="1"/>
      <c r="F466" s="1"/>
      <c r="G466" s="1"/>
      <c r="H466" s="1"/>
      <c r="I466" s="6"/>
      <c r="J466" s="6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</row>
    <row r="467" spans="1:41" ht="13.5" customHeight="1">
      <c r="A467" s="1"/>
      <c r="B467" s="1"/>
      <c r="C467" s="3"/>
      <c r="D467" s="1"/>
      <c r="E467" s="1"/>
      <c r="F467" s="1"/>
      <c r="G467" s="1"/>
      <c r="H467" s="1"/>
      <c r="I467" s="6"/>
      <c r="J467" s="6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1:41" ht="13.5" customHeight="1">
      <c r="A468" s="1"/>
      <c r="B468" s="1"/>
      <c r="C468" s="3"/>
      <c r="D468" s="1"/>
      <c r="E468" s="1"/>
      <c r="F468" s="1"/>
      <c r="G468" s="1"/>
      <c r="H468" s="1"/>
      <c r="I468" s="6"/>
      <c r="J468" s="6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1:41" ht="13.5" customHeight="1">
      <c r="A469" s="1"/>
      <c r="B469" s="1"/>
      <c r="C469" s="3"/>
      <c r="D469" s="1"/>
      <c r="E469" s="1"/>
      <c r="F469" s="1"/>
      <c r="G469" s="1"/>
      <c r="H469" s="1"/>
      <c r="I469" s="6"/>
      <c r="J469" s="6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1:41" ht="13.5" customHeight="1">
      <c r="A470" s="1"/>
      <c r="B470" s="1"/>
      <c r="C470" s="3"/>
      <c r="D470" s="1"/>
      <c r="E470" s="1"/>
      <c r="F470" s="1"/>
      <c r="G470" s="1"/>
      <c r="H470" s="1"/>
      <c r="I470" s="6"/>
      <c r="J470" s="6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1:41" ht="13.5" customHeight="1">
      <c r="A471" s="1"/>
      <c r="B471" s="1"/>
      <c r="C471" s="3"/>
      <c r="D471" s="1"/>
      <c r="E471" s="1"/>
      <c r="F471" s="1"/>
      <c r="G471" s="1"/>
      <c r="H471" s="1"/>
      <c r="I471" s="6"/>
      <c r="J471" s="6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1:41" ht="13.5" customHeight="1">
      <c r="A472" s="1"/>
      <c r="B472" s="1"/>
      <c r="C472" s="3"/>
      <c r="D472" s="1"/>
      <c r="E472" s="1"/>
      <c r="F472" s="1"/>
      <c r="G472" s="1"/>
      <c r="H472" s="1"/>
      <c r="I472" s="6"/>
      <c r="J472" s="6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1:41" ht="13.5" customHeight="1">
      <c r="A473" s="1"/>
      <c r="B473" s="1"/>
      <c r="C473" s="3"/>
      <c r="D473" s="1"/>
      <c r="E473" s="1"/>
      <c r="F473" s="1"/>
      <c r="G473" s="1"/>
      <c r="H473" s="1"/>
      <c r="I473" s="6"/>
      <c r="J473" s="6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1:41" ht="13.5" customHeight="1">
      <c r="A474" s="1"/>
      <c r="B474" s="1"/>
      <c r="C474" s="3"/>
      <c r="D474" s="1"/>
      <c r="E474" s="1"/>
      <c r="F474" s="1"/>
      <c r="G474" s="1"/>
      <c r="H474" s="1"/>
      <c r="I474" s="6"/>
      <c r="J474" s="6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spans="1:41" ht="13.5" customHeight="1">
      <c r="A475" s="1"/>
      <c r="B475" s="1"/>
      <c r="C475" s="3"/>
      <c r="D475" s="1"/>
      <c r="E475" s="1"/>
      <c r="F475" s="1"/>
      <c r="G475" s="1"/>
      <c r="H475" s="1"/>
      <c r="I475" s="6"/>
      <c r="J475" s="6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</row>
    <row r="476" spans="1:41" ht="13.5" customHeight="1">
      <c r="A476" s="1"/>
      <c r="B476" s="1"/>
      <c r="C476" s="3"/>
      <c r="D476" s="1"/>
      <c r="E476" s="1"/>
      <c r="F476" s="1"/>
      <c r="G476" s="1"/>
      <c r="H476" s="1"/>
      <c r="I476" s="6"/>
      <c r="J476" s="6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1:41" ht="13.5" customHeight="1">
      <c r="A477" s="1"/>
      <c r="B477" s="1"/>
      <c r="C477" s="3"/>
      <c r="D477" s="1"/>
      <c r="E477" s="1"/>
      <c r="F477" s="1"/>
      <c r="G477" s="1"/>
      <c r="H477" s="1"/>
      <c r="I477" s="6"/>
      <c r="J477" s="6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</row>
    <row r="478" spans="1:41" ht="13.5" customHeight="1">
      <c r="A478" s="1"/>
      <c r="B478" s="1"/>
      <c r="C478" s="3"/>
      <c r="D478" s="1"/>
      <c r="E478" s="1"/>
      <c r="F478" s="1"/>
      <c r="G478" s="1"/>
      <c r="H478" s="1"/>
      <c r="I478" s="6"/>
      <c r="J478" s="6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1:41" ht="13.5" customHeight="1">
      <c r="A479" s="1"/>
      <c r="B479" s="1"/>
      <c r="C479" s="3"/>
      <c r="D479" s="1"/>
      <c r="E479" s="1"/>
      <c r="F479" s="1"/>
      <c r="G479" s="1"/>
      <c r="H479" s="1"/>
      <c r="I479" s="6"/>
      <c r="J479" s="6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1:41" ht="13.5" customHeight="1">
      <c r="A480" s="1"/>
      <c r="B480" s="1"/>
      <c r="C480" s="3"/>
      <c r="D480" s="1"/>
      <c r="E480" s="1"/>
      <c r="F480" s="1"/>
      <c r="G480" s="1"/>
      <c r="H480" s="1"/>
      <c r="I480" s="6"/>
      <c r="J480" s="6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</row>
    <row r="481" spans="1:41" ht="13.5" customHeight="1">
      <c r="A481" s="1"/>
      <c r="B481" s="1"/>
      <c r="C481" s="3"/>
      <c r="D481" s="1"/>
      <c r="E481" s="1"/>
      <c r="F481" s="1"/>
      <c r="G481" s="1"/>
      <c r="H481" s="1"/>
      <c r="I481" s="6"/>
      <c r="J481" s="6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1:41" ht="13.5" customHeight="1">
      <c r="A482" s="1"/>
      <c r="B482" s="1"/>
      <c r="C482" s="3"/>
      <c r="D482" s="1"/>
      <c r="E482" s="1"/>
      <c r="F482" s="1"/>
      <c r="G482" s="1"/>
      <c r="H482" s="1"/>
      <c r="I482" s="6"/>
      <c r="J482" s="6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spans="1:41" ht="13.5" customHeight="1">
      <c r="A483" s="1"/>
      <c r="B483" s="1"/>
      <c r="C483" s="3"/>
      <c r="D483" s="1"/>
      <c r="E483" s="1"/>
      <c r="F483" s="1"/>
      <c r="G483" s="1"/>
      <c r="H483" s="1"/>
      <c r="I483" s="6"/>
      <c r="J483" s="6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1:41" ht="13.5" customHeight="1">
      <c r="A484" s="1"/>
      <c r="B484" s="1"/>
      <c r="C484" s="3"/>
      <c r="D484" s="1"/>
      <c r="E484" s="1"/>
      <c r="F484" s="1"/>
      <c r="G484" s="1"/>
      <c r="H484" s="1"/>
      <c r="I484" s="6"/>
      <c r="J484" s="6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</row>
    <row r="485" spans="1:41" ht="13.5" customHeight="1">
      <c r="A485" s="1"/>
      <c r="B485" s="1"/>
      <c r="C485" s="3"/>
      <c r="D485" s="1"/>
      <c r="E485" s="1"/>
      <c r="F485" s="1"/>
      <c r="G485" s="1"/>
      <c r="H485" s="1"/>
      <c r="I485" s="6"/>
      <c r="J485" s="6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1:41" ht="13.5" customHeight="1">
      <c r="A486" s="1"/>
      <c r="B486" s="1"/>
      <c r="C486" s="3"/>
      <c r="D486" s="1"/>
      <c r="E486" s="1"/>
      <c r="F486" s="1"/>
      <c r="G486" s="1"/>
      <c r="H486" s="1"/>
      <c r="I486" s="6"/>
      <c r="J486" s="6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1:41" ht="13.5" customHeight="1">
      <c r="A487" s="1"/>
      <c r="B487" s="1"/>
      <c r="C487" s="3"/>
      <c r="D487" s="1"/>
      <c r="E487" s="1"/>
      <c r="F487" s="1"/>
      <c r="G487" s="1"/>
      <c r="H487" s="1"/>
      <c r="I487" s="6"/>
      <c r="J487" s="6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1:41" ht="13.5" customHeight="1">
      <c r="A488" s="1"/>
      <c r="B488" s="1"/>
      <c r="C488" s="3"/>
      <c r="D488" s="1"/>
      <c r="E488" s="1"/>
      <c r="F488" s="1"/>
      <c r="G488" s="1"/>
      <c r="H488" s="1"/>
      <c r="I488" s="6"/>
      <c r="J488" s="6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spans="1:41" ht="13.5" customHeight="1">
      <c r="A489" s="1"/>
      <c r="B489" s="1"/>
      <c r="C489" s="3"/>
      <c r="D489" s="1"/>
      <c r="E489" s="1"/>
      <c r="F489" s="1"/>
      <c r="G489" s="1"/>
      <c r="H489" s="1"/>
      <c r="I489" s="6"/>
      <c r="J489" s="6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</row>
    <row r="490" spans="1:41" ht="13.5" customHeight="1">
      <c r="A490" s="1"/>
      <c r="B490" s="1"/>
      <c r="C490" s="3"/>
      <c r="D490" s="1"/>
      <c r="E490" s="1"/>
      <c r="F490" s="1"/>
      <c r="G490" s="1"/>
      <c r="H490" s="1"/>
      <c r="I490" s="6"/>
      <c r="J490" s="6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spans="1:41" ht="13.5" customHeight="1">
      <c r="A491" s="1"/>
      <c r="B491" s="1"/>
      <c r="C491" s="3"/>
      <c r="D491" s="1"/>
      <c r="E491" s="1"/>
      <c r="F491" s="1"/>
      <c r="G491" s="1"/>
      <c r="H491" s="1"/>
      <c r="I491" s="6"/>
      <c r="J491" s="6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</row>
    <row r="492" spans="1:41" ht="13.5" customHeight="1">
      <c r="A492" s="1"/>
      <c r="B492" s="1"/>
      <c r="C492" s="3"/>
      <c r="D492" s="1"/>
      <c r="E492" s="1"/>
      <c r="F492" s="1"/>
      <c r="G492" s="1"/>
      <c r="H492" s="1"/>
      <c r="I492" s="6"/>
      <c r="J492" s="6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</row>
    <row r="493" spans="1:41" ht="13.5" customHeight="1">
      <c r="A493" s="1"/>
      <c r="B493" s="1"/>
      <c r="C493" s="3"/>
      <c r="D493" s="1"/>
      <c r="E493" s="1"/>
      <c r="F493" s="1"/>
      <c r="G493" s="1"/>
      <c r="H493" s="1"/>
      <c r="I493" s="6"/>
      <c r="J493" s="6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1:41" ht="13.5" customHeight="1">
      <c r="A494" s="1"/>
      <c r="B494" s="1"/>
      <c r="C494" s="3"/>
      <c r="D494" s="1"/>
      <c r="E494" s="1"/>
      <c r="F494" s="1"/>
      <c r="G494" s="1"/>
      <c r="H494" s="1"/>
      <c r="I494" s="6"/>
      <c r="J494" s="6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spans="1:41" ht="13.5" customHeight="1">
      <c r="A495" s="1"/>
      <c r="B495" s="1"/>
      <c r="C495" s="3"/>
      <c r="D495" s="1"/>
      <c r="E495" s="1"/>
      <c r="F495" s="1"/>
      <c r="G495" s="1"/>
      <c r="H495" s="1"/>
      <c r="I495" s="6"/>
      <c r="J495" s="6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</row>
    <row r="496" spans="1:41" ht="13.5" customHeight="1">
      <c r="A496" s="1"/>
      <c r="B496" s="1"/>
      <c r="C496" s="3"/>
      <c r="D496" s="1"/>
      <c r="E496" s="1"/>
      <c r="F496" s="1"/>
      <c r="G496" s="1"/>
      <c r="H496" s="1"/>
      <c r="I496" s="6"/>
      <c r="J496" s="6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</row>
    <row r="497" spans="1:41" ht="13.5" customHeight="1">
      <c r="A497" s="1"/>
      <c r="B497" s="1"/>
      <c r="C497" s="3"/>
      <c r="D497" s="1"/>
      <c r="E497" s="1"/>
      <c r="F497" s="1"/>
      <c r="G497" s="1"/>
      <c r="H497" s="1"/>
      <c r="I497" s="6"/>
      <c r="J497" s="6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1:41" ht="13.5" customHeight="1">
      <c r="A498" s="1"/>
      <c r="B498" s="1"/>
      <c r="C498" s="3"/>
      <c r="D498" s="1"/>
      <c r="E498" s="1"/>
      <c r="F498" s="1"/>
      <c r="G498" s="1"/>
      <c r="H498" s="1"/>
      <c r="I498" s="6"/>
      <c r="J498" s="6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1:41" ht="13.5" customHeight="1">
      <c r="A499" s="1"/>
      <c r="B499" s="1"/>
      <c r="C499" s="3"/>
      <c r="D499" s="1"/>
      <c r="E499" s="1"/>
      <c r="F499" s="1"/>
      <c r="G499" s="1"/>
      <c r="H499" s="1"/>
      <c r="I499" s="6"/>
      <c r="J499" s="6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spans="1:41" ht="13.5" customHeight="1">
      <c r="A500" s="1"/>
      <c r="B500" s="1"/>
      <c r="C500" s="3"/>
      <c r="D500" s="1"/>
      <c r="E500" s="1"/>
      <c r="F500" s="1"/>
      <c r="G500" s="1"/>
      <c r="H500" s="1"/>
      <c r="I500" s="6"/>
      <c r="J500" s="6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</row>
    <row r="501" spans="1:41" ht="13.5" customHeight="1">
      <c r="A501" s="1"/>
      <c r="B501" s="1"/>
      <c r="C501" s="3"/>
      <c r="D501" s="1"/>
      <c r="E501" s="1"/>
      <c r="F501" s="1"/>
      <c r="G501" s="1"/>
      <c r="H501" s="1"/>
      <c r="I501" s="6"/>
      <c r="J501" s="6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</row>
    <row r="502" spans="1:41" ht="13.5" customHeight="1">
      <c r="A502" s="1"/>
      <c r="B502" s="1"/>
      <c r="C502" s="3"/>
      <c r="D502" s="1"/>
      <c r="E502" s="1"/>
      <c r="F502" s="1"/>
      <c r="G502" s="1"/>
      <c r="H502" s="1"/>
      <c r="I502" s="6"/>
      <c r="J502" s="6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spans="1:41" ht="13.5" customHeight="1">
      <c r="A503" s="1"/>
      <c r="B503" s="1"/>
      <c r="C503" s="3"/>
      <c r="D503" s="1"/>
      <c r="E503" s="1"/>
      <c r="F503" s="1"/>
      <c r="G503" s="1"/>
      <c r="H503" s="1"/>
      <c r="I503" s="6"/>
      <c r="J503" s="6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1:41" ht="13.5" customHeight="1">
      <c r="A504" s="1"/>
      <c r="B504" s="1"/>
      <c r="C504" s="3"/>
      <c r="D504" s="1"/>
      <c r="E504" s="1"/>
      <c r="F504" s="1"/>
      <c r="G504" s="1"/>
      <c r="H504" s="1"/>
      <c r="I504" s="6"/>
      <c r="J504" s="6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1:41" ht="13.5" customHeight="1">
      <c r="A505" s="1"/>
      <c r="B505" s="1"/>
      <c r="C505" s="3"/>
      <c r="D505" s="1"/>
      <c r="E505" s="1"/>
      <c r="F505" s="1"/>
      <c r="G505" s="1"/>
      <c r="H505" s="1"/>
      <c r="I505" s="6"/>
      <c r="J505" s="6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</row>
    <row r="506" spans="1:41" ht="13.5" customHeight="1">
      <c r="A506" s="1"/>
      <c r="B506" s="1"/>
      <c r="C506" s="3"/>
      <c r="D506" s="1"/>
      <c r="E506" s="1"/>
      <c r="F506" s="1"/>
      <c r="G506" s="1"/>
      <c r="H506" s="1"/>
      <c r="I506" s="6"/>
      <c r="J506" s="6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1:41" ht="13.5" customHeight="1">
      <c r="A507" s="1"/>
      <c r="B507" s="1"/>
      <c r="C507" s="3"/>
      <c r="D507" s="1"/>
      <c r="E507" s="1"/>
      <c r="F507" s="1"/>
      <c r="G507" s="1"/>
      <c r="H507" s="1"/>
      <c r="I507" s="6"/>
      <c r="J507" s="6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</row>
    <row r="508" spans="1:41" ht="13.5" customHeight="1">
      <c r="A508" s="1"/>
      <c r="B508" s="1"/>
      <c r="C508" s="3"/>
      <c r="D508" s="1"/>
      <c r="E508" s="1"/>
      <c r="F508" s="1"/>
      <c r="G508" s="1"/>
      <c r="H508" s="1"/>
      <c r="I508" s="6"/>
      <c r="J508" s="6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</row>
    <row r="509" spans="1:41" ht="13.5" customHeight="1">
      <c r="A509" s="1"/>
      <c r="B509" s="1"/>
      <c r="C509" s="3"/>
      <c r="D509" s="1"/>
      <c r="E509" s="1"/>
      <c r="F509" s="1"/>
      <c r="G509" s="1"/>
      <c r="H509" s="1"/>
      <c r="I509" s="6"/>
      <c r="J509" s="6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</row>
    <row r="510" spans="1:41" ht="13.5" customHeight="1">
      <c r="A510" s="1"/>
      <c r="B510" s="1"/>
      <c r="C510" s="3"/>
      <c r="D510" s="1"/>
      <c r="E510" s="1"/>
      <c r="F510" s="1"/>
      <c r="G510" s="1"/>
      <c r="H510" s="1"/>
      <c r="I510" s="6"/>
      <c r="J510" s="6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</row>
    <row r="511" spans="1:41" ht="13.5" customHeight="1">
      <c r="A511" s="1"/>
      <c r="B511" s="1"/>
      <c r="C511" s="3"/>
      <c r="D511" s="1"/>
      <c r="E511" s="1"/>
      <c r="F511" s="1"/>
      <c r="G511" s="1"/>
      <c r="H511" s="1"/>
      <c r="I511" s="6"/>
      <c r="J511" s="6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</row>
    <row r="512" spans="1:41" ht="13.5" customHeight="1">
      <c r="A512" s="1"/>
      <c r="B512" s="1"/>
      <c r="C512" s="3"/>
      <c r="D512" s="1"/>
      <c r="E512" s="1"/>
      <c r="F512" s="1"/>
      <c r="G512" s="1"/>
      <c r="H512" s="1"/>
      <c r="I512" s="6"/>
      <c r="J512" s="6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</row>
    <row r="513" spans="1:41" ht="13.5" customHeight="1">
      <c r="A513" s="1"/>
      <c r="B513" s="1"/>
      <c r="C513" s="3"/>
      <c r="D513" s="1"/>
      <c r="E513" s="1"/>
      <c r="F513" s="1"/>
      <c r="G513" s="1"/>
      <c r="H513" s="1"/>
      <c r="I513" s="6"/>
      <c r="J513" s="6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</row>
    <row r="514" spans="1:41" ht="13.5" customHeight="1">
      <c r="A514" s="1"/>
      <c r="B514" s="1"/>
      <c r="C514" s="3"/>
      <c r="D514" s="1"/>
      <c r="E514" s="1"/>
      <c r="F514" s="1"/>
      <c r="G514" s="1"/>
      <c r="H514" s="1"/>
      <c r="I514" s="6"/>
      <c r="J514" s="6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</row>
    <row r="515" spans="1:41" ht="13.5" customHeight="1">
      <c r="A515" s="1"/>
      <c r="B515" s="1"/>
      <c r="C515" s="3"/>
      <c r="D515" s="1"/>
      <c r="E515" s="1"/>
      <c r="F515" s="1"/>
      <c r="G515" s="1"/>
      <c r="H515" s="1"/>
      <c r="I515" s="6"/>
      <c r="J515" s="6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</row>
    <row r="516" spans="1:41" ht="13.5" customHeight="1">
      <c r="A516" s="1"/>
      <c r="B516" s="1"/>
      <c r="C516" s="3"/>
      <c r="D516" s="1"/>
      <c r="E516" s="1"/>
      <c r="F516" s="1"/>
      <c r="G516" s="1"/>
      <c r="H516" s="1"/>
      <c r="I516" s="6"/>
      <c r="J516" s="6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spans="1:41" ht="13.5" customHeight="1">
      <c r="A517" s="1"/>
      <c r="B517" s="1"/>
      <c r="C517" s="3"/>
      <c r="D517" s="1"/>
      <c r="E517" s="1"/>
      <c r="F517" s="1"/>
      <c r="G517" s="1"/>
      <c r="H517" s="1"/>
      <c r="I517" s="6"/>
      <c r="J517" s="6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</row>
    <row r="518" spans="1:41" ht="13.5" customHeight="1">
      <c r="A518" s="1"/>
      <c r="B518" s="1"/>
      <c r="C518" s="3"/>
      <c r="D518" s="1"/>
      <c r="E518" s="1"/>
      <c r="F518" s="1"/>
      <c r="G518" s="1"/>
      <c r="H518" s="1"/>
      <c r="I518" s="6"/>
      <c r="J518" s="6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1:41" ht="13.5" customHeight="1">
      <c r="A519" s="1"/>
      <c r="B519" s="1"/>
      <c r="C519" s="3"/>
      <c r="D519" s="1"/>
      <c r="E519" s="1"/>
      <c r="F519" s="1"/>
      <c r="G519" s="1"/>
      <c r="H519" s="1"/>
      <c r="I519" s="6"/>
      <c r="J519" s="6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</row>
    <row r="520" spans="1:41" ht="13.5" customHeight="1">
      <c r="A520" s="1"/>
      <c r="B520" s="1"/>
      <c r="C520" s="3"/>
      <c r="D520" s="1"/>
      <c r="E520" s="1"/>
      <c r="F520" s="1"/>
      <c r="G520" s="1"/>
      <c r="H520" s="1"/>
      <c r="I520" s="6"/>
      <c r="J520" s="6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</row>
    <row r="521" spans="1:41" ht="13.5" customHeight="1">
      <c r="A521" s="1"/>
      <c r="B521" s="1"/>
      <c r="C521" s="3"/>
      <c r="D521" s="1"/>
      <c r="E521" s="1"/>
      <c r="F521" s="1"/>
      <c r="G521" s="1"/>
      <c r="H521" s="1"/>
      <c r="I521" s="6"/>
      <c r="J521" s="6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</row>
    <row r="522" spans="1:41" ht="13.5" customHeight="1">
      <c r="A522" s="1"/>
      <c r="B522" s="1"/>
      <c r="C522" s="3"/>
      <c r="D522" s="1"/>
      <c r="E522" s="1"/>
      <c r="F522" s="1"/>
      <c r="G522" s="1"/>
      <c r="H522" s="1"/>
      <c r="I522" s="6"/>
      <c r="J522" s="6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</row>
    <row r="523" spans="1:41" ht="13.5" customHeight="1">
      <c r="A523" s="1"/>
      <c r="B523" s="1"/>
      <c r="C523" s="3"/>
      <c r="D523" s="1"/>
      <c r="E523" s="1"/>
      <c r="F523" s="1"/>
      <c r="G523" s="1"/>
      <c r="H523" s="1"/>
      <c r="I523" s="6"/>
      <c r="J523" s="6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</row>
    <row r="524" spans="1:41" ht="13.5" customHeight="1">
      <c r="A524" s="1"/>
      <c r="B524" s="1"/>
      <c r="C524" s="3"/>
      <c r="D524" s="1"/>
      <c r="E524" s="1"/>
      <c r="F524" s="1"/>
      <c r="G524" s="1"/>
      <c r="H524" s="1"/>
      <c r="I524" s="6"/>
      <c r="J524" s="6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</row>
    <row r="525" spans="1:41" ht="13.5" customHeight="1">
      <c r="A525" s="1"/>
      <c r="B525" s="1"/>
      <c r="C525" s="3"/>
      <c r="D525" s="1"/>
      <c r="E525" s="1"/>
      <c r="F525" s="1"/>
      <c r="G525" s="1"/>
      <c r="H525" s="1"/>
      <c r="I525" s="6"/>
      <c r="J525" s="6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</row>
    <row r="526" spans="1:41" ht="13.5" customHeight="1">
      <c r="A526" s="1"/>
      <c r="B526" s="1"/>
      <c r="C526" s="3"/>
      <c r="D526" s="1"/>
      <c r="E526" s="1"/>
      <c r="F526" s="1"/>
      <c r="G526" s="1"/>
      <c r="H526" s="1"/>
      <c r="I526" s="6"/>
      <c r="J526" s="6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</row>
    <row r="527" spans="1:41" ht="13.5" customHeight="1">
      <c r="A527" s="1"/>
      <c r="B527" s="1"/>
      <c r="C527" s="3"/>
      <c r="D527" s="1"/>
      <c r="E527" s="1"/>
      <c r="F527" s="1"/>
      <c r="G527" s="1"/>
      <c r="H527" s="1"/>
      <c r="I527" s="6"/>
      <c r="J527" s="6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</row>
    <row r="528" spans="1:41" ht="13.5" customHeight="1">
      <c r="A528" s="1"/>
      <c r="B528" s="1"/>
      <c r="C528" s="3"/>
      <c r="D528" s="1"/>
      <c r="E528" s="1"/>
      <c r="F528" s="1"/>
      <c r="G528" s="1"/>
      <c r="H528" s="1"/>
      <c r="I528" s="6"/>
      <c r="J528" s="6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spans="1:41" ht="13.5" customHeight="1">
      <c r="A529" s="1"/>
      <c r="B529" s="1"/>
      <c r="C529" s="3"/>
      <c r="D529" s="1"/>
      <c r="E529" s="1"/>
      <c r="F529" s="1"/>
      <c r="G529" s="1"/>
      <c r="H529" s="1"/>
      <c r="I529" s="6"/>
      <c r="J529" s="6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</row>
    <row r="530" spans="1:41" ht="13.5" customHeight="1">
      <c r="A530" s="1"/>
      <c r="B530" s="1"/>
      <c r="C530" s="3"/>
      <c r="D530" s="1"/>
      <c r="E530" s="1"/>
      <c r="F530" s="1"/>
      <c r="G530" s="1"/>
      <c r="H530" s="1"/>
      <c r="I530" s="6"/>
      <c r="J530" s="6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</row>
    <row r="531" spans="1:41" ht="13.5" customHeight="1">
      <c r="A531" s="1"/>
      <c r="B531" s="1"/>
      <c r="C531" s="3"/>
      <c r="D531" s="1"/>
      <c r="E531" s="1"/>
      <c r="F531" s="1"/>
      <c r="G531" s="1"/>
      <c r="H531" s="1"/>
      <c r="I531" s="6"/>
      <c r="J531" s="6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</row>
    <row r="532" spans="1:41" ht="13.5" customHeight="1">
      <c r="A532" s="1"/>
      <c r="B532" s="1"/>
      <c r="C532" s="3"/>
      <c r="D532" s="1"/>
      <c r="E532" s="1"/>
      <c r="F532" s="1"/>
      <c r="G532" s="1"/>
      <c r="H532" s="1"/>
      <c r="I532" s="6"/>
      <c r="J532" s="6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</row>
    <row r="533" spans="1:41" ht="13.5" customHeight="1">
      <c r="A533" s="1"/>
      <c r="B533" s="1"/>
      <c r="C533" s="3"/>
      <c r="D533" s="1"/>
      <c r="E533" s="1"/>
      <c r="F533" s="1"/>
      <c r="G533" s="1"/>
      <c r="H533" s="1"/>
      <c r="I533" s="6"/>
      <c r="J533" s="6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</row>
    <row r="534" spans="1:41" ht="13.5" customHeight="1">
      <c r="A534" s="1"/>
      <c r="B534" s="1"/>
      <c r="C534" s="3"/>
      <c r="D534" s="1"/>
      <c r="E534" s="1"/>
      <c r="F534" s="1"/>
      <c r="G534" s="1"/>
      <c r="H534" s="1"/>
      <c r="I534" s="6"/>
      <c r="J534" s="6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spans="1:41" ht="13.5" customHeight="1">
      <c r="A535" s="1"/>
      <c r="B535" s="1"/>
      <c r="C535" s="3"/>
      <c r="D535" s="1"/>
      <c r="E535" s="1"/>
      <c r="F535" s="1"/>
      <c r="G535" s="1"/>
      <c r="H535" s="1"/>
      <c r="I535" s="6"/>
      <c r="J535" s="6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</row>
    <row r="536" spans="1:41" ht="13.5" customHeight="1">
      <c r="A536" s="1"/>
      <c r="B536" s="1"/>
      <c r="C536" s="3"/>
      <c r="D536" s="1"/>
      <c r="E536" s="1"/>
      <c r="F536" s="1"/>
      <c r="G536" s="1"/>
      <c r="H536" s="1"/>
      <c r="I536" s="6"/>
      <c r="J536" s="6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</row>
    <row r="537" spans="1:41" ht="13.5" customHeight="1">
      <c r="A537" s="1"/>
      <c r="B537" s="1"/>
      <c r="C537" s="3"/>
      <c r="D537" s="1"/>
      <c r="E537" s="1"/>
      <c r="F537" s="1"/>
      <c r="G537" s="1"/>
      <c r="H537" s="1"/>
      <c r="I537" s="6"/>
      <c r="J537" s="6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</row>
    <row r="538" spans="1:41" ht="13.5" customHeight="1">
      <c r="A538" s="1"/>
      <c r="B538" s="1"/>
      <c r="C538" s="3"/>
      <c r="D538" s="1"/>
      <c r="E538" s="1"/>
      <c r="F538" s="1"/>
      <c r="G538" s="1"/>
      <c r="H538" s="1"/>
      <c r="I538" s="6"/>
      <c r="J538" s="6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</row>
    <row r="539" spans="1:41" ht="13.5" customHeight="1">
      <c r="A539" s="1"/>
      <c r="B539" s="1"/>
      <c r="C539" s="3"/>
      <c r="D539" s="1"/>
      <c r="E539" s="1"/>
      <c r="F539" s="1"/>
      <c r="G539" s="1"/>
      <c r="H539" s="1"/>
      <c r="I539" s="6"/>
      <c r="J539" s="6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spans="1:41" ht="13.5" customHeight="1">
      <c r="A540" s="1"/>
      <c r="B540" s="1"/>
      <c r="C540" s="3"/>
      <c r="D540" s="1"/>
      <c r="E540" s="1"/>
      <c r="F540" s="1"/>
      <c r="G540" s="1"/>
      <c r="H540" s="1"/>
      <c r="I540" s="6"/>
      <c r="J540" s="6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</row>
    <row r="541" spans="1:41" ht="13.5" customHeight="1">
      <c r="A541" s="1"/>
      <c r="B541" s="1"/>
      <c r="C541" s="3"/>
      <c r="D541" s="1"/>
      <c r="E541" s="1"/>
      <c r="F541" s="1"/>
      <c r="G541" s="1"/>
      <c r="H541" s="1"/>
      <c r="I541" s="6"/>
      <c r="J541" s="6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</row>
    <row r="542" spans="1:41" ht="13.5" customHeight="1">
      <c r="A542" s="1"/>
      <c r="B542" s="1"/>
      <c r="C542" s="3"/>
      <c r="D542" s="1"/>
      <c r="E542" s="1"/>
      <c r="F542" s="1"/>
      <c r="G542" s="1"/>
      <c r="H542" s="1"/>
      <c r="I542" s="6"/>
      <c r="J542" s="6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spans="1:41" ht="13.5" customHeight="1">
      <c r="A543" s="1"/>
      <c r="B543" s="1"/>
      <c r="C543" s="3"/>
      <c r="D543" s="1"/>
      <c r="E543" s="1"/>
      <c r="F543" s="1"/>
      <c r="G543" s="1"/>
      <c r="H543" s="1"/>
      <c r="I543" s="6"/>
      <c r="J543" s="6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</row>
    <row r="544" spans="1:41" ht="13.5" customHeight="1">
      <c r="A544" s="1"/>
      <c r="B544" s="1"/>
      <c r="C544" s="3"/>
      <c r="D544" s="1"/>
      <c r="E544" s="1"/>
      <c r="F544" s="1"/>
      <c r="G544" s="1"/>
      <c r="H544" s="1"/>
      <c r="I544" s="6"/>
      <c r="J544" s="6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</row>
    <row r="545" spans="1:41" ht="13.5" customHeight="1">
      <c r="A545" s="1"/>
      <c r="B545" s="1"/>
      <c r="C545" s="3"/>
      <c r="D545" s="1"/>
      <c r="E545" s="1"/>
      <c r="F545" s="1"/>
      <c r="G545" s="1"/>
      <c r="H545" s="1"/>
      <c r="I545" s="6"/>
      <c r="J545" s="6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</row>
    <row r="546" spans="1:41" ht="13.5" customHeight="1">
      <c r="A546" s="1"/>
      <c r="B546" s="1"/>
      <c r="C546" s="26"/>
      <c r="D546" s="1"/>
      <c r="E546" s="1"/>
      <c r="F546" s="1"/>
      <c r="G546" s="1"/>
      <c r="H546" s="1"/>
      <c r="I546" s="6"/>
      <c r="J546" s="6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</row>
    <row r="547" spans="1:41" ht="13.5" customHeight="1">
      <c r="A547" s="1"/>
      <c r="B547" s="1"/>
      <c r="C547" s="26"/>
      <c r="D547" s="1"/>
      <c r="E547" s="1"/>
      <c r="F547" s="1"/>
      <c r="G547" s="1"/>
      <c r="H547" s="1"/>
      <c r="I547" s="6"/>
      <c r="J547" s="6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</row>
    <row r="548" spans="1:41" ht="13.5" customHeight="1">
      <c r="A548" s="1"/>
      <c r="B548" s="1"/>
      <c r="C548" s="26"/>
      <c r="D548" s="1"/>
      <c r="E548" s="1"/>
      <c r="F548" s="1"/>
      <c r="G548" s="1"/>
      <c r="H548" s="1"/>
      <c r="I548" s="6"/>
      <c r="J548" s="6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</row>
    <row r="549" spans="1:41" ht="13.5" customHeight="1">
      <c r="A549" s="1"/>
      <c r="B549" s="1"/>
      <c r="C549" s="26"/>
      <c r="D549" s="1"/>
      <c r="E549" s="1"/>
      <c r="F549" s="1"/>
      <c r="G549" s="1"/>
      <c r="H549" s="1"/>
      <c r="I549" s="6"/>
      <c r="J549" s="6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</row>
    <row r="550" spans="1:41" ht="13.5" customHeight="1">
      <c r="A550" s="1"/>
      <c r="B550" s="1"/>
      <c r="C550" s="26"/>
      <c r="D550" s="1"/>
      <c r="E550" s="1"/>
      <c r="F550" s="1"/>
      <c r="G550" s="1"/>
      <c r="H550" s="1"/>
      <c r="I550" s="6"/>
      <c r="J550" s="6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</row>
    <row r="551" spans="1:41" ht="13.5" customHeight="1">
      <c r="A551" s="1"/>
      <c r="B551" s="1"/>
      <c r="C551" s="26"/>
      <c r="D551" s="1"/>
      <c r="E551" s="1"/>
      <c r="F551" s="1"/>
      <c r="G551" s="1"/>
      <c r="H551" s="1"/>
      <c r="I551" s="6"/>
      <c r="J551" s="6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</row>
    <row r="552" spans="1:41" ht="13.5" customHeight="1">
      <c r="A552" s="1"/>
      <c r="B552" s="1"/>
      <c r="C552" s="26"/>
      <c r="D552" s="1"/>
      <c r="E552" s="1"/>
      <c r="F552" s="1"/>
      <c r="G552" s="1"/>
      <c r="H552" s="1"/>
      <c r="I552" s="6"/>
      <c r="J552" s="6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</row>
    <row r="553" spans="1:41" ht="13.5" customHeight="1">
      <c r="A553" s="1"/>
      <c r="B553" s="1"/>
      <c r="C553" s="26"/>
      <c r="D553" s="1"/>
      <c r="E553" s="1"/>
      <c r="F553" s="1"/>
      <c r="G553" s="1"/>
      <c r="H553" s="1"/>
      <c r="I553" s="6"/>
      <c r="J553" s="6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</row>
    <row r="554" spans="1:41" ht="13.5" customHeight="1">
      <c r="A554" s="1"/>
      <c r="B554" s="1"/>
      <c r="C554" s="26"/>
      <c r="D554" s="1"/>
      <c r="E554" s="1"/>
      <c r="F554" s="1"/>
      <c r="G554" s="1"/>
      <c r="H554" s="1"/>
      <c r="I554" s="6"/>
      <c r="J554" s="6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</row>
    <row r="555" spans="1:41" ht="13.5" customHeight="1">
      <c r="A555" s="1"/>
      <c r="B555" s="1"/>
      <c r="C555" s="26"/>
      <c r="D555" s="1"/>
      <c r="E555" s="1"/>
      <c r="F555" s="1"/>
      <c r="G555" s="1"/>
      <c r="H555" s="1"/>
      <c r="I555" s="6"/>
      <c r="J555" s="6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</row>
    <row r="556" spans="1:41" ht="13.5" customHeight="1">
      <c r="A556" s="1"/>
      <c r="B556" s="1"/>
      <c r="C556" s="26"/>
      <c r="D556" s="1"/>
      <c r="E556" s="1"/>
      <c r="F556" s="1"/>
      <c r="G556" s="1"/>
      <c r="H556" s="1"/>
      <c r="I556" s="6"/>
      <c r="J556" s="6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spans="1:41" ht="13.5" customHeight="1">
      <c r="A557" s="1"/>
      <c r="B557" s="1"/>
      <c r="C557" s="26"/>
      <c r="D557" s="1"/>
      <c r="E557" s="1"/>
      <c r="F557" s="1"/>
      <c r="G557" s="1"/>
      <c r="H557" s="1"/>
      <c r="I557" s="6"/>
      <c r="J557" s="6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</row>
    <row r="558" spans="1:41" ht="13.5" customHeight="1">
      <c r="A558" s="1"/>
      <c r="B558" s="1"/>
      <c r="C558" s="26"/>
      <c r="D558" s="1"/>
      <c r="E558" s="1"/>
      <c r="F558" s="1"/>
      <c r="G558" s="1"/>
      <c r="H558" s="1"/>
      <c r="I558" s="6"/>
      <c r="J558" s="6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1:41" ht="13.5" customHeight="1">
      <c r="A559" s="1"/>
      <c r="B559" s="1"/>
      <c r="C559" s="26"/>
      <c r="D559" s="1"/>
      <c r="E559" s="1"/>
      <c r="F559" s="1"/>
      <c r="G559" s="1"/>
      <c r="H559" s="1"/>
      <c r="I559" s="6"/>
      <c r="J559" s="6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</row>
    <row r="560" spans="1:41" ht="13.5" customHeight="1">
      <c r="A560" s="1"/>
      <c r="B560" s="1"/>
      <c r="C560" s="26"/>
      <c r="D560" s="1"/>
      <c r="E560" s="1"/>
      <c r="F560" s="1"/>
      <c r="G560" s="1"/>
      <c r="H560" s="1"/>
      <c r="I560" s="6"/>
      <c r="J560" s="6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</row>
    <row r="561" spans="1:41" ht="13.5" customHeight="1">
      <c r="A561" s="1"/>
      <c r="B561" s="1"/>
      <c r="C561" s="26"/>
      <c r="D561" s="1"/>
      <c r="E561" s="1"/>
      <c r="F561" s="1"/>
      <c r="G561" s="1"/>
      <c r="H561" s="1"/>
      <c r="I561" s="6"/>
      <c r="J561" s="6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</row>
    <row r="562" spans="1:41" ht="13.5" customHeight="1">
      <c r="A562" s="1"/>
      <c r="B562" s="1"/>
      <c r="C562" s="26"/>
      <c r="D562" s="1"/>
      <c r="E562" s="1"/>
      <c r="F562" s="1"/>
      <c r="G562" s="1"/>
      <c r="H562" s="1"/>
      <c r="I562" s="6"/>
      <c r="J562" s="6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</row>
    <row r="563" spans="1:41" ht="13.5" customHeight="1">
      <c r="A563" s="1"/>
      <c r="B563" s="1"/>
      <c r="C563" s="26"/>
      <c r="D563" s="1"/>
      <c r="E563" s="1"/>
      <c r="F563" s="1"/>
      <c r="G563" s="1"/>
      <c r="H563" s="1"/>
      <c r="I563" s="6"/>
      <c r="J563" s="6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</row>
    <row r="564" spans="1:41" ht="13.5" customHeight="1">
      <c r="A564" s="1"/>
      <c r="B564" s="1"/>
      <c r="C564" s="26"/>
      <c r="D564" s="1"/>
      <c r="E564" s="1"/>
      <c r="F564" s="1"/>
      <c r="G564" s="1"/>
      <c r="H564" s="1"/>
      <c r="I564" s="6"/>
      <c r="J564" s="6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</row>
    <row r="565" spans="1:41" ht="13.5" customHeight="1">
      <c r="A565" s="1"/>
      <c r="B565" s="1"/>
      <c r="C565" s="26"/>
      <c r="D565" s="1"/>
      <c r="E565" s="1"/>
      <c r="F565" s="1"/>
      <c r="G565" s="1"/>
      <c r="H565" s="1"/>
      <c r="I565" s="6"/>
      <c r="J565" s="6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</row>
    <row r="566" spans="1:41" ht="13.5" customHeight="1">
      <c r="A566" s="1"/>
      <c r="B566" s="1"/>
      <c r="C566" s="26"/>
      <c r="D566" s="1"/>
      <c r="E566" s="1"/>
      <c r="F566" s="1"/>
      <c r="G566" s="1"/>
      <c r="H566" s="1"/>
      <c r="I566" s="6"/>
      <c r="J566" s="6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</row>
    <row r="567" spans="1:41" ht="13.5" customHeight="1">
      <c r="A567" s="1"/>
      <c r="B567" s="1"/>
      <c r="C567" s="26"/>
      <c r="D567" s="1"/>
      <c r="E567" s="1"/>
      <c r="F567" s="1"/>
      <c r="G567" s="1"/>
      <c r="H567" s="1"/>
      <c r="I567" s="6"/>
      <c r="J567" s="6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</row>
    <row r="568" spans="1:41" ht="13.5" customHeight="1">
      <c r="A568" s="1"/>
      <c r="B568" s="1"/>
      <c r="C568" s="26"/>
      <c r="D568" s="1"/>
      <c r="E568" s="1"/>
      <c r="F568" s="1"/>
      <c r="G568" s="1"/>
      <c r="H568" s="1"/>
      <c r="I568" s="6"/>
      <c r="J568" s="6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</row>
    <row r="569" spans="1:41" ht="13.5" customHeight="1">
      <c r="A569" s="1"/>
      <c r="B569" s="1"/>
      <c r="C569" s="26"/>
      <c r="D569" s="1"/>
      <c r="E569" s="1"/>
      <c r="F569" s="1"/>
      <c r="G569" s="1"/>
      <c r="H569" s="1"/>
      <c r="I569" s="6"/>
      <c r="J569" s="6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</row>
    <row r="570" spans="1:41" ht="13.5" customHeight="1">
      <c r="A570" s="1"/>
      <c r="B570" s="1"/>
      <c r="C570" s="26"/>
      <c r="D570" s="1"/>
      <c r="E570" s="1"/>
      <c r="F570" s="1"/>
      <c r="G570" s="1"/>
      <c r="H570" s="1"/>
      <c r="I570" s="6"/>
      <c r="J570" s="6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</row>
    <row r="571" spans="1:41" ht="13.5" customHeight="1">
      <c r="A571" s="1"/>
      <c r="B571" s="1"/>
      <c r="C571" s="26"/>
      <c r="D571" s="1"/>
      <c r="E571" s="1"/>
      <c r="F571" s="1"/>
      <c r="G571" s="1"/>
      <c r="H571" s="1"/>
      <c r="I571" s="6"/>
      <c r="J571" s="6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</row>
    <row r="572" spans="1:41" ht="13.5" customHeight="1">
      <c r="A572" s="1"/>
      <c r="B572" s="1"/>
      <c r="C572" s="26"/>
      <c r="D572" s="1"/>
      <c r="E572" s="1"/>
      <c r="F572" s="1"/>
      <c r="G572" s="1"/>
      <c r="H572" s="1"/>
      <c r="I572" s="6"/>
      <c r="J572" s="6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</row>
    <row r="573" spans="1:41" ht="13.5" customHeight="1">
      <c r="A573" s="1"/>
      <c r="B573" s="1"/>
      <c r="C573" s="2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</row>
    <row r="574" spans="1:41" ht="13.5" customHeight="1">
      <c r="A574" s="1"/>
      <c r="B574" s="1"/>
      <c r="C574" s="2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</row>
    <row r="575" spans="1:41" ht="13.5" customHeight="1">
      <c r="A575" s="1"/>
      <c r="B575" s="1"/>
      <c r="C575" s="2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</row>
    <row r="576" spans="1:41" ht="13.5" customHeight="1">
      <c r="A576" s="1"/>
      <c r="B576" s="1"/>
      <c r="C576" s="2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</row>
    <row r="577" spans="1:41" ht="13.5" customHeight="1">
      <c r="A577" s="1"/>
      <c r="B577" s="1"/>
      <c r="C577" s="2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</row>
    <row r="578" spans="1:41" ht="13.5" customHeight="1">
      <c r="A578" s="1"/>
      <c r="B578" s="1"/>
      <c r="C578" s="2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</row>
    <row r="579" spans="1:41" ht="13.5" customHeight="1">
      <c r="A579" s="1"/>
      <c r="B579" s="1"/>
      <c r="C579" s="2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</row>
    <row r="580" spans="1:41" ht="13.5" customHeight="1">
      <c r="A580" s="1"/>
      <c r="B580" s="1"/>
      <c r="C580" s="2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</row>
    <row r="581" spans="1:41" ht="13.5" customHeight="1">
      <c r="A581" s="1"/>
      <c r="B581" s="1"/>
      <c r="C581" s="2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</row>
    <row r="582" spans="1:41" ht="13.5" customHeight="1">
      <c r="A582" s="1"/>
      <c r="B582" s="1"/>
      <c r="C582" s="2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</row>
    <row r="583" spans="1:41" ht="13.5" customHeight="1">
      <c r="A583" s="1"/>
      <c r="B583" s="1"/>
      <c r="C583" s="2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</row>
    <row r="584" spans="1:41" ht="13.5" customHeight="1">
      <c r="A584" s="1"/>
      <c r="B584" s="1"/>
      <c r="C584" s="2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</row>
    <row r="585" spans="1:41" ht="13.5" customHeight="1">
      <c r="A585" s="1"/>
      <c r="B585" s="1"/>
      <c r="C585" s="2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</row>
    <row r="586" spans="1:41" ht="13.5" customHeight="1">
      <c r="A586" s="1"/>
      <c r="B586" s="1"/>
      <c r="C586" s="2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</row>
    <row r="587" spans="1:41" ht="13.5" customHeight="1">
      <c r="A587" s="1"/>
      <c r="B587" s="1"/>
      <c r="C587" s="2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</row>
    <row r="588" spans="1:41" ht="13.5" customHeight="1">
      <c r="A588" s="1"/>
      <c r="B588" s="1"/>
      <c r="C588" s="2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</row>
    <row r="589" spans="1:41" ht="13.5" customHeight="1">
      <c r="A589" s="1"/>
      <c r="B589" s="1"/>
      <c r="C589" s="2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</row>
    <row r="590" spans="1:41" ht="13.5" customHeight="1">
      <c r="A590" s="1"/>
      <c r="B590" s="1"/>
      <c r="C590" s="2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</row>
    <row r="591" spans="1:41" ht="13.5" customHeight="1">
      <c r="A591" s="1"/>
      <c r="B591" s="1"/>
      <c r="C591" s="2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</row>
    <row r="592" spans="1:41" ht="13.5" customHeight="1">
      <c r="A592" s="1"/>
      <c r="B592" s="1"/>
      <c r="C592" s="2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</row>
    <row r="593" spans="1:41" ht="13.5" customHeight="1">
      <c r="A593" s="1"/>
      <c r="B593" s="1"/>
      <c r="C593" s="2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</row>
    <row r="594" spans="1:41" ht="13.5" customHeight="1">
      <c r="A594" s="1"/>
      <c r="B594" s="1"/>
      <c r="C594" s="2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</row>
    <row r="595" spans="1:41" ht="13.5" customHeight="1">
      <c r="A595" s="1"/>
      <c r="B595" s="1"/>
      <c r="C595" s="2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</row>
    <row r="596" spans="1:41" ht="13.5" customHeight="1">
      <c r="A596" s="1"/>
      <c r="B596" s="1"/>
      <c r="C596" s="2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</row>
    <row r="597" spans="1:41" ht="13.5" customHeight="1">
      <c r="A597" s="1"/>
      <c r="B597" s="1"/>
      <c r="C597" s="2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</row>
    <row r="598" spans="1:41" ht="13.5" customHeight="1">
      <c r="A598" s="1"/>
      <c r="B598" s="1"/>
      <c r="C598" s="2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</row>
    <row r="599" spans="1:41" ht="13.5" customHeight="1">
      <c r="A599" s="1"/>
      <c r="B599" s="1"/>
      <c r="C599" s="2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</row>
    <row r="600" spans="1:41" ht="13.5" customHeight="1">
      <c r="A600" s="1"/>
      <c r="B600" s="1"/>
      <c r="C600" s="2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</row>
    <row r="601" spans="1:41" ht="13.5" customHeight="1">
      <c r="A601" s="1"/>
      <c r="B601" s="1"/>
      <c r="C601" s="2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</row>
    <row r="602" spans="1:41" ht="13.5" customHeight="1">
      <c r="A602" s="1"/>
      <c r="B602" s="1"/>
      <c r="C602" s="2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</row>
    <row r="603" spans="1:41" ht="13.5" customHeight="1">
      <c r="A603" s="1"/>
      <c r="B603" s="1"/>
      <c r="C603" s="2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</row>
    <row r="604" spans="1:41" ht="13.5" customHeight="1">
      <c r="A604" s="1"/>
      <c r="B604" s="1"/>
      <c r="C604" s="2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</row>
    <row r="605" spans="1:41" ht="13.5" customHeight="1">
      <c r="A605" s="1"/>
      <c r="B605" s="1"/>
      <c r="C605" s="2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</row>
    <row r="606" spans="1:41" ht="13.5" customHeight="1">
      <c r="A606" s="1"/>
      <c r="B606" s="1"/>
      <c r="C606" s="2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</row>
    <row r="607" spans="1:41" ht="13.5" customHeight="1">
      <c r="A607" s="1"/>
      <c r="B607" s="1"/>
      <c r="C607" s="2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</row>
    <row r="608" spans="1:41" ht="13.5" customHeight="1">
      <c r="A608" s="1"/>
      <c r="B608" s="1"/>
      <c r="C608" s="2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</row>
    <row r="609" spans="1:41" ht="13.5" customHeight="1">
      <c r="A609" s="1"/>
      <c r="B609" s="1"/>
      <c r="C609" s="2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</row>
    <row r="610" spans="1:41" ht="13.5" customHeight="1">
      <c r="A610" s="1"/>
      <c r="B610" s="1"/>
      <c r="C610" s="2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</row>
    <row r="611" spans="1:41" ht="13.5" customHeight="1">
      <c r="A611" s="1"/>
      <c r="B611" s="1"/>
      <c r="C611" s="2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</row>
    <row r="612" spans="1:41" ht="13.5" customHeight="1">
      <c r="A612" s="1"/>
      <c r="B612" s="1"/>
      <c r="C612" s="2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</row>
    <row r="613" spans="1:41" ht="13.5" customHeight="1">
      <c r="A613" s="1"/>
      <c r="B613" s="1"/>
      <c r="C613" s="2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</row>
    <row r="614" spans="1:41" ht="13.5" customHeight="1">
      <c r="A614" s="1"/>
      <c r="B614" s="1"/>
      <c r="C614" s="2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</row>
    <row r="615" spans="1:41" ht="13.5" customHeight="1">
      <c r="A615" s="1"/>
      <c r="B615" s="1"/>
      <c r="C615" s="2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</row>
    <row r="616" spans="1:41" ht="13.5" customHeight="1">
      <c r="A616" s="1"/>
      <c r="B616" s="1"/>
      <c r="C616" s="2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</row>
    <row r="617" spans="1:41" ht="13.5" customHeight="1">
      <c r="A617" s="1"/>
      <c r="B617" s="1"/>
      <c r="C617" s="2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</row>
    <row r="618" spans="1:41" ht="13.5" customHeight="1">
      <c r="A618" s="1"/>
      <c r="B618" s="1"/>
      <c r="C618" s="2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</row>
    <row r="619" spans="1:41" ht="13.5" customHeight="1">
      <c r="A619" s="1"/>
      <c r="B619" s="1"/>
      <c r="C619" s="2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</row>
    <row r="620" spans="1:41" ht="13.5" customHeight="1">
      <c r="A620" s="1"/>
      <c r="B620" s="1"/>
      <c r="C620" s="2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</row>
    <row r="621" spans="1:41" ht="13.5" customHeight="1">
      <c r="A621" s="1"/>
      <c r="B621" s="1"/>
      <c r="C621" s="2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</row>
    <row r="622" spans="1:41" ht="13.5" customHeight="1">
      <c r="A622" s="1"/>
      <c r="B622" s="1"/>
      <c r="C622" s="2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</row>
    <row r="623" spans="1:41" ht="13.5" customHeight="1">
      <c r="A623" s="1"/>
      <c r="B623" s="1"/>
      <c r="C623" s="2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</row>
    <row r="624" spans="1:41" ht="13.5" customHeight="1">
      <c r="A624" s="1"/>
      <c r="B624" s="1"/>
      <c r="C624" s="2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</row>
    <row r="625" spans="1:41" ht="13.5" customHeight="1">
      <c r="A625" s="1"/>
      <c r="B625" s="1"/>
      <c r="C625" s="2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</row>
    <row r="626" spans="1:41" ht="13.5" customHeight="1">
      <c r="A626" s="1"/>
      <c r="B626" s="1"/>
      <c r="C626" s="2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</row>
    <row r="627" spans="1:41" ht="13.5" customHeight="1">
      <c r="A627" s="1"/>
      <c r="B627" s="1"/>
      <c r="C627" s="2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</row>
    <row r="628" spans="1:41" ht="13.5" customHeight="1">
      <c r="A628" s="1"/>
      <c r="B628" s="1"/>
      <c r="C628" s="2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</row>
    <row r="629" spans="1:41" ht="13.5" customHeight="1">
      <c r="A629" s="1"/>
      <c r="B629" s="1"/>
      <c r="C629" s="2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</row>
    <row r="630" spans="1:41" ht="13.5" customHeight="1">
      <c r="A630" s="1"/>
      <c r="B630" s="1"/>
      <c r="C630" s="2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</row>
    <row r="631" spans="1:41" ht="13.5" customHeight="1">
      <c r="A631" s="1"/>
      <c r="B631" s="1"/>
      <c r="C631" s="2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</row>
    <row r="632" spans="1:41" ht="13.5" customHeight="1">
      <c r="A632" s="1"/>
      <c r="B632" s="1"/>
      <c r="C632" s="2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</row>
    <row r="633" spans="1:41" ht="13.5" customHeight="1">
      <c r="A633" s="1"/>
      <c r="B633" s="1"/>
      <c r="C633" s="2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</row>
    <row r="634" spans="1:41" ht="13.5" customHeight="1">
      <c r="A634" s="1"/>
      <c r="B634" s="1"/>
      <c r="C634" s="2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</row>
    <row r="635" spans="1:41" ht="13.5" customHeight="1">
      <c r="A635" s="1"/>
      <c r="B635" s="1"/>
      <c r="C635" s="2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</row>
    <row r="636" spans="1:41" ht="13.5" customHeight="1">
      <c r="A636" s="1"/>
      <c r="B636" s="1"/>
      <c r="C636" s="2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</row>
    <row r="637" spans="1:41" ht="13.5" customHeight="1">
      <c r="A637" s="1"/>
      <c r="B637" s="1"/>
      <c r="C637" s="2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</row>
    <row r="638" spans="1:41" ht="13.5" customHeight="1">
      <c r="A638" s="1"/>
      <c r="B638" s="1"/>
      <c r="C638" s="2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</row>
    <row r="639" spans="1:41" ht="13.5" customHeight="1">
      <c r="A639" s="1"/>
      <c r="B639" s="1"/>
      <c r="C639" s="2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</row>
    <row r="640" spans="1:41" ht="13.5" customHeight="1">
      <c r="A640" s="1"/>
      <c r="B640" s="1"/>
      <c r="C640" s="2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</row>
    <row r="641" spans="1:41" ht="13.5" customHeight="1">
      <c r="A641" s="1"/>
      <c r="B641" s="1"/>
      <c r="C641" s="2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</row>
    <row r="642" spans="1:41" ht="13.5" customHeight="1">
      <c r="A642" s="1"/>
      <c r="B642" s="1"/>
      <c r="C642" s="2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</row>
    <row r="643" spans="1:41" ht="13.5" customHeight="1">
      <c r="A643" s="1"/>
      <c r="B643" s="1"/>
      <c r="C643" s="2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</row>
    <row r="644" spans="1:41" ht="13.5" customHeight="1">
      <c r="A644" s="1"/>
      <c r="B644" s="1"/>
      <c r="C644" s="2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</row>
    <row r="645" spans="1:41" ht="13.5" customHeight="1">
      <c r="A645" s="1"/>
      <c r="B645" s="1"/>
      <c r="C645" s="2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</row>
    <row r="646" spans="1:41" ht="13.5" customHeight="1">
      <c r="A646" s="1"/>
      <c r="B646" s="1"/>
      <c r="C646" s="2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</row>
    <row r="647" spans="1:41" ht="13.5" customHeight="1">
      <c r="A647" s="1"/>
      <c r="B647" s="1"/>
      <c r="C647" s="2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</row>
    <row r="648" spans="1:41" ht="13.5" customHeight="1">
      <c r="A648" s="1"/>
      <c r="B648" s="1"/>
      <c r="C648" s="2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</row>
    <row r="649" spans="1:41" ht="13.5" customHeight="1">
      <c r="A649" s="1"/>
      <c r="B649" s="1"/>
      <c r="C649" s="2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</row>
    <row r="650" spans="1:41" ht="13.5" customHeight="1">
      <c r="A650" s="1"/>
      <c r="B650" s="1"/>
      <c r="C650" s="2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</row>
    <row r="651" spans="1:41" ht="13.5" customHeight="1">
      <c r="A651" s="1"/>
      <c r="B651" s="1"/>
      <c r="C651" s="2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</row>
    <row r="652" spans="1:41" ht="13.5" customHeight="1">
      <c r="A652" s="1"/>
      <c r="B652" s="1"/>
      <c r="C652" s="2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</row>
    <row r="653" spans="1:41" ht="13.5" customHeight="1">
      <c r="A653" s="1"/>
      <c r="B653" s="1"/>
      <c r="C653" s="2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</row>
    <row r="654" spans="1:41" ht="13.5" customHeight="1">
      <c r="A654" s="1"/>
      <c r="B654" s="1"/>
      <c r="C654" s="2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</row>
    <row r="655" spans="1:41" ht="13.5" customHeight="1">
      <c r="A655" s="1"/>
      <c r="B655" s="1"/>
      <c r="C655" s="2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</row>
    <row r="656" spans="1:41" ht="13.5" customHeight="1">
      <c r="A656" s="1"/>
      <c r="B656" s="1"/>
      <c r="C656" s="2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</row>
    <row r="657" spans="1:41" ht="13.5" customHeight="1">
      <c r="A657" s="1"/>
      <c r="B657" s="1"/>
      <c r="C657" s="2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</row>
    <row r="658" spans="1:41" ht="13.5" customHeight="1">
      <c r="A658" s="1"/>
      <c r="B658" s="1"/>
      <c r="C658" s="2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</row>
    <row r="659" spans="1:41" ht="13.5" customHeight="1">
      <c r="A659" s="1"/>
      <c r="B659" s="1"/>
      <c r="C659" s="2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</row>
    <row r="660" spans="1:41" ht="13.5" customHeight="1">
      <c r="A660" s="1"/>
      <c r="B660" s="1"/>
      <c r="C660" s="2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</row>
    <row r="661" spans="1:41" ht="13.5" customHeight="1">
      <c r="A661" s="1"/>
      <c r="B661" s="1"/>
      <c r="C661" s="2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</row>
    <row r="662" spans="1:41" ht="13.5" customHeight="1">
      <c r="A662" s="1"/>
      <c r="B662" s="1"/>
      <c r="C662" s="2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</row>
    <row r="663" spans="1:41" ht="13.5" customHeight="1">
      <c r="A663" s="1"/>
      <c r="B663" s="1"/>
      <c r="C663" s="2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</row>
    <row r="664" spans="1:41" ht="13.5" customHeight="1">
      <c r="A664" s="1"/>
      <c r="B664" s="1"/>
      <c r="C664" s="2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</row>
    <row r="665" spans="1:41" ht="13.5" customHeight="1">
      <c r="A665" s="1"/>
      <c r="B665" s="1"/>
      <c r="C665" s="2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</row>
    <row r="666" spans="1:41" ht="13.5" customHeight="1">
      <c r="A666" s="1"/>
      <c r="B666" s="1"/>
      <c r="C666" s="2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</row>
    <row r="667" spans="1:41" ht="13.5" customHeight="1">
      <c r="A667" s="1"/>
      <c r="B667" s="1"/>
      <c r="C667" s="2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</row>
    <row r="668" spans="1:41" ht="13.5" customHeight="1">
      <c r="A668" s="1"/>
      <c r="B668" s="1"/>
      <c r="C668" s="2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</row>
    <row r="669" spans="1:41" ht="13.5" customHeight="1">
      <c r="A669" s="1"/>
      <c r="B669" s="1"/>
      <c r="C669" s="2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</row>
    <row r="670" spans="1:41" ht="13.5" customHeight="1">
      <c r="A670" s="1"/>
      <c r="B670" s="1"/>
      <c r="C670" s="2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</row>
    <row r="671" spans="1:41" ht="13.5" customHeight="1">
      <c r="A671" s="1"/>
      <c r="B671" s="1"/>
      <c r="C671" s="2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</row>
    <row r="672" spans="1:41" ht="13.5" customHeight="1">
      <c r="A672" s="1"/>
      <c r="B672" s="1"/>
      <c r="C672" s="2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</row>
    <row r="673" spans="1:41" ht="13.5" customHeight="1">
      <c r="A673" s="1"/>
      <c r="B673" s="1"/>
      <c r="C673" s="2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</row>
    <row r="674" spans="1:41" ht="13.5" customHeight="1">
      <c r="A674" s="1"/>
      <c r="B674" s="1"/>
      <c r="C674" s="2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</row>
    <row r="675" spans="1:41" ht="13.5" customHeight="1">
      <c r="A675" s="1"/>
      <c r="B675" s="1"/>
      <c r="C675" s="2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</row>
    <row r="676" spans="1:41" ht="13.5" customHeight="1">
      <c r="A676" s="1"/>
      <c r="B676" s="1"/>
      <c r="C676" s="2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</row>
    <row r="677" spans="1:41" ht="13.5" customHeight="1">
      <c r="A677" s="1"/>
      <c r="B677" s="1"/>
      <c r="C677" s="2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</row>
    <row r="678" spans="1:41" ht="13.5" customHeight="1">
      <c r="A678" s="1"/>
      <c r="B678" s="1"/>
      <c r="C678" s="2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</row>
    <row r="679" spans="1:41" ht="13.5" customHeight="1">
      <c r="A679" s="1"/>
      <c r="B679" s="1"/>
      <c r="C679" s="2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</row>
    <row r="680" spans="1:41" ht="13.5" customHeight="1">
      <c r="A680" s="1"/>
      <c r="B680" s="1"/>
      <c r="C680" s="2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</row>
    <row r="681" spans="1:41" ht="13.5" customHeight="1">
      <c r="A681" s="1"/>
      <c r="B681" s="1"/>
      <c r="C681" s="2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</row>
    <row r="682" spans="1:41" ht="13.5" customHeight="1">
      <c r="A682" s="1"/>
      <c r="B682" s="1"/>
      <c r="C682" s="2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</row>
    <row r="683" spans="1:41" ht="13.5" customHeight="1">
      <c r="A683" s="1"/>
      <c r="B683" s="1"/>
      <c r="C683" s="2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</row>
    <row r="684" spans="1:41" ht="13.5" customHeight="1">
      <c r="A684" s="1"/>
      <c r="B684" s="1"/>
      <c r="C684" s="2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</row>
    <row r="685" spans="1:41" ht="13.5" customHeight="1">
      <c r="A685" s="1"/>
      <c r="B685" s="1"/>
      <c r="C685" s="2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</row>
    <row r="686" spans="1:41" ht="13.5" customHeight="1">
      <c r="A686" s="1"/>
      <c r="B686" s="1"/>
      <c r="C686" s="2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</row>
    <row r="687" spans="1:41" ht="13.5" customHeight="1">
      <c r="A687" s="1"/>
      <c r="B687" s="1"/>
      <c r="C687" s="2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</row>
    <row r="688" spans="1:41" ht="13.5" customHeight="1">
      <c r="A688" s="1"/>
      <c r="B688" s="1"/>
      <c r="C688" s="2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</row>
    <row r="689" spans="1:41" ht="13.5" customHeight="1">
      <c r="A689" s="1"/>
      <c r="B689" s="1"/>
      <c r="C689" s="2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</row>
    <row r="690" spans="1:41" ht="13.5" customHeight="1">
      <c r="A690" s="1"/>
      <c r="B690" s="1"/>
      <c r="C690" s="2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</row>
    <row r="691" spans="1:41" ht="13.5" customHeight="1">
      <c r="A691" s="1"/>
      <c r="B691" s="1"/>
      <c r="C691" s="2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</row>
    <row r="692" spans="1:41" ht="13.5" customHeight="1">
      <c r="A692" s="1"/>
      <c r="B692" s="1"/>
      <c r="C692" s="2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</row>
    <row r="693" spans="1:41" ht="13.5" customHeight="1">
      <c r="A693" s="1"/>
      <c r="B693" s="1"/>
      <c r="C693" s="2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</row>
    <row r="694" spans="1:41" ht="13.5" customHeight="1">
      <c r="A694" s="1"/>
      <c r="B694" s="1"/>
      <c r="C694" s="2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</row>
    <row r="695" spans="1:41" ht="13.5" customHeight="1">
      <c r="A695" s="1"/>
      <c r="B695" s="1"/>
      <c r="C695" s="2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</row>
    <row r="696" spans="1:41" ht="13.5" customHeight="1">
      <c r="A696" s="1"/>
      <c r="B696" s="1"/>
      <c r="C696" s="2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</row>
    <row r="697" spans="1:41" ht="13.5" customHeight="1">
      <c r="A697" s="1"/>
      <c r="B697" s="1"/>
      <c r="C697" s="2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</row>
    <row r="698" spans="1:41" ht="13.5" customHeight="1">
      <c r="A698" s="1"/>
      <c r="B698" s="1"/>
      <c r="C698" s="2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</row>
    <row r="699" spans="1:41" ht="13.5" customHeight="1">
      <c r="A699" s="1"/>
      <c r="B699" s="1"/>
      <c r="C699" s="2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</row>
    <row r="700" spans="1:41" ht="13.5" customHeight="1">
      <c r="A700" s="1"/>
      <c r="B700" s="1"/>
      <c r="C700" s="2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</row>
    <row r="701" spans="1:41" ht="13.5" customHeight="1">
      <c r="A701" s="1"/>
      <c r="B701" s="1"/>
      <c r="C701" s="2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</row>
    <row r="702" spans="1:41" ht="13.5" customHeight="1">
      <c r="A702" s="1"/>
      <c r="B702" s="1"/>
      <c r="C702" s="2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</row>
    <row r="703" spans="1:41" ht="13.5" customHeight="1">
      <c r="A703" s="1"/>
      <c r="B703" s="1"/>
      <c r="C703" s="2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</row>
    <row r="704" spans="1:41" ht="13.5" customHeight="1">
      <c r="A704" s="1"/>
      <c r="B704" s="1"/>
      <c r="C704" s="2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</row>
    <row r="705" spans="1:41" ht="13.5" customHeight="1">
      <c r="A705" s="1"/>
      <c r="B705" s="1"/>
      <c r="C705" s="2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</row>
    <row r="706" spans="1:41" ht="13.5" customHeight="1">
      <c r="A706" s="1"/>
      <c r="B706" s="1"/>
      <c r="C706" s="2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</row>
    <row r="707" spans="1:41" ht="13.5" customHeight="1">
      <c r="A707" s="1"/>
      <c r="B707" s="1"/>
      <c r="C707" s="2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</row>
    <row r="708" spans="1:41" ht="13.5" customHeight="1">
      <c r="A708" s="1"/>
      <c r="B708" s="1"/>
      <c r="C708" s="2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</row>
    <row r="709" spans="1:41" ht="13.5" customHeight="1">
      <c r="A709" s="1"/>
      <c r="B709" s="1"/>
      <c r="C709" s="2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</row>
    <row r="710" spans="1:41" ht="13.5" customHeight="1">
      <c r="A710" s="1"/>
      <c r="B710" s="1"/>
      <c r="C710" s="2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</row>
    <row r="711" spans="1:41" ht="13.5" customHeight="1">
      <c r="A711" s="1"/>
      <c r="B711" s="1"/>
      <c r="C711" s="2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</row>
    <row r="712" spans="1:41" ht="13.5" customHeight="1">
      <c r="A712" s="1"/>
      <c r="B712" s="1"/>
      <c r="C712" s="2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</row>
    <row r="713" spans="1:41" ht="13.5" customHeight="1">
      <c r="A713" s="1"/>
      <c r="B713" s="1"/>
      <c r="C713" s="2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</row>
    <row r="714" spans="1:41" ht="13.5" customHeight="1">
      <c r="A714" s="1"/>
      <c r="B714" s="1"/>
      <c r="C714" s="2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</row>
    <row r="715" spans="1:41" ht="13.5" customHeight="1">
      <c r="A715" s="1"/>
      <c r="B715" s="1"/>
      <c r="C715" s="2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</row>
    <row r="716" spans="1:41" ht="13.5" customHeight="1">
      <c r="A716" s="1"/>
      <c r="B716" s="1"/>
      <c r="C716" s="2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</row>
    <row r="717" spans="1:41" ht="13.5" customHeight="1">
      <c r="A717" s="1"/>
      <c r="B717" s="1"/>
      <c r="C717" s="2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</row>
    <row r="718" spans="1:41" ht="13.5" customHeight="1">
      <c r="A718" s="1"/>
      <c r="B718" s="1"/>
      <c r="C718" s="2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</row>
    <row r="719" spans="1:41" ht="13.5" customHeight="1">
      <c r="A719" s="1"/>
      <c r="B719" s="1"/>
      <c r="C719" s="2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</row>
    <row r="720" spans="1:41" ht="13.5" customHeight="1">
      <c r="A720" s="1"/>
      <c r="B720" s="1"/>
      <c r="C720" s="2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</row>
    <row r="721" spans="1:41" ht="13.5" customHeight="1">
      <c r="A721" s="1"/>
      <c r="B721" s="1"/>
      <c r="C721" s="2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</row>
    <row r="722" spans="1:41" ht="13.5" customHeight="1">
      <c r="A722" s="1"/>
      <c r="B722" s="1"/>
      <c r="C722" s="2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</row>
    <row r="723" spans="1:41" ht="13.5" customHeight="1">
      <c r="A723" s="1"/>
      <c r="B723" s="1"/>
      <c r="C723" s="2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</row>
    <row r="724" spans="1:41" ht="13.5" customHeight="1">
      <c r="A724" s="1"/>
      <c r="B724" s="1"/>
      <c r="C724" s="2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</row>
    <row r="725" spans="1:41" ht="13.5" customHeight="1">
      <c r="A725" s="1"/>
      <c r="B725" s="1"/>
      <c r="C725" s="2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</row>
    <row r="726" spans="1:41" ht="13.5" customHeight="1">
      <c r="A726" s="1"/>
      <c r="B726" s="1"/>
      <c r="C726" s="2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</row>
    <row r="727" spans="1:41" ht="13.5" customHeight="1">
      <c r="A727" s="1"/>
      <c r="B727" s="1"/>
      <c r="C727" s="2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</row>
    <row r="728" spans="1:41" ht="13.5" customHeight="1">
      <c r="A728" s="1"/>
      <c r="B728" s="1"/>
      <c r="C728" s="2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</row>
    <row r="729" spans="1:41" ht="13.5" customHeight="1">
      <c r="A729" s="1"/>
      <c r="B729" s="1"/>
      <c r="C729" s="2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</row>
    <row r="730" spans="1:41" ht="13.5" customHeight="1">
      <c r="A730" s="1"/>
      <c r="B730" s="1"/>
      <c r="C730" s="2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</row>
    <row r="731" spans="1:41" ht="13.5" customHeight="1">
      <c r="A731" s="1"/>
      <c r="B731" s="1"/>
      <c r="C731" s="2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</row>
    <row r="732" spans="1:41" ht="13.5" customHeight="1">
      <c r="A732" s="1"/>
      <c r="B732" s="1"/>
      <c r="C732" s="2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</row>
    <row r="733" spans="1:41" ht="13.5" customHeight="1">
      <c r="A733" s="1"/>
      <c r="B733" s="1"/>
      <c r="C733" s="2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</row>
    <row r="734" spans="1:41" ht="13.5" customHeight="1">
      <c r="A734" s="1"/>
      <c r="B734" s="1"/>
      <c r="C734" s="2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</row>
    <row r="735" spans="1:41" ht="13.5" customHeight="1">
      <c r="A735" s="1"/>
      <c r="B735" s="1"/>
      <c r="C735" s="2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</row>
    <row r="736" spans="1:41" ht="13.5" customHeight="1">
      <c r="A736" s="1"/>
      <c r="B736" s="1"/>
      <c r="C736" s="2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</row>
    <row r="737" spans="1:41" ht="13.5" customHeight="1">
      <c r="A737" s="1"/>
      <c r="B737" s="1"/>
      <c r="C737" s="2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</row>
    <row r="738" spans="1:41" ht="13.5" customHeight="1">
      <c r="A738" s="1"/>
      <c r="B738" s="1"/>
      <c r="C738" s="2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</row>
    <row r="739" spans="1:41" ht="13.5" customHeight="1">
      <c r="A739" s="1"/>
      <c r="B739" s="1"/>
      <c r="C739" s="2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</row>
    <row r="740" spans="1:41" ht="13.5" customHeight="1">
      <c r="A740" s="1"/>
      <c r="B740" s="1"/>
      <c r="C740" s="2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</row>
    <row r="741" spans="1:41" ht="13.5" customHeight="1">
      <c r="A741" s="1"/>
      <c r="B741" s="1"/>
      <c r="C741" s="2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</row>
    <row r="742" spans="1:41" ht="13.5" customHeight="1">
      <c r="A742" s="1"/>
      <c r="B742" s="1"/>
      <c r="C742" s="2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</row>
    <row r="743" spans="1:41" ht="13.5" customHeight="1">
      <c r="A743" s="1"/>
      <c r="B743" s="1"/>
      <c r="C743" s="2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</row>
    <row r="744" spans="1:41" ht="13.5" customHeight="1">
      <c r="A744" s="1"/>
      <c r="B744" s="1"/>
      <c r="C744" s="2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</row>
    <row r="745" spans="1:41" ht="13.5" customHeight="1">
      <c r="A745" s="1"/>
      <c r="B745" s="1"/>
      <c r="C745" s="2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</row>
    <row r="746" spans="1:41" ht="13.5" customHeight="1">
      <c r="A746" s="1"/>
      <c r="B746" s="1"/>
      <c r="C746" s="2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</row>
    <row r="747" spans="1:41" ht="13.5" customHeight="1">
      <c r="A747" s="1"/>
      <c r="B747" s="1"/>
      <c r="C747" s="2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</row>
    <row r="748" spans="1:41" ht="13.5" customHeight="1">
      <c r="A748" s="1"/>
      <c r="B748" s="1"/>
      <c r="C748" s="2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</row>
    <row r="749" spans="1:41" ht="13.5" customHeight="1">
      <c r="A749" s="1"/>
      <c r="B749" s="1"/>
      <c r="C749" s="2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</row>
    <row r="750" spans="1:41" ht="13.5" customHeight="1">
      <c r="A750" s="1"/>
      <c r="B750" s="1"/>
      <c r="C750" s="2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</row>
    <row r="751" spans="1:41" ht="13.5" customHeight="1">
      <c r="A751" s="1"/>
      <c r="B751" s="1"/>
      <c r="C751" s="2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</row>
    <row r="752" spans="1:41" ht="13.5" customHeight="1">
      <c r="A752" s="1"/>
      <c r="B752" s="1"/>
      <c r="C752" s="2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</row>
    <row r="753" spans="1:41" ht="13.5" customHeight="1">
      <c r="A753" s="1"/>
      <c r="B753" s="1"/>
      <c r="C753" s="2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</row>
    <row r="754" spans="1:41" ht="13.5" customHeight="1">
      <c r="A754" s="1"/>
      <c r="B754" s="1"/>
      <c r="C754" s="2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</row>
    <row r="755" spans="1:41" ht="13.5" customHeight="1">
      <c r="A755" s="1"/>
      <c r="B755" s="1"/>
      <c r="C755" s="2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</row>
    <row r="756" spans="1:41" ht="13.5" customHeight="1">
      <c r="A756" s="1"/>
      <c r="B756" s="1"/>
      <c r="C756" s="2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</row>
    <row r="757" spans="1:41" ht="13.5" customHeight="1">
      <c r="A757" s="1"/>
      <c r="B757" s="1"/>
      <c r="C757" s="2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</row>
    <row r="758" spans="1:41" ht="13.5" customHeight="1">
      <c r="A758" s="1"/>
      <c r="B758" s="1"/>
      <c r="C758" s="2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</row>
    <row r="759" spans="1:41" ht="13.5" customHeight="1">
      <c r="A759" s="1"/>
      <c r="B759" s="1"/>
      <c r="C759" s="2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</row>
    <row r="760" spans="1:41" ht="13.5" customHeight="1">
      <c r="A760" s="1"/>
      <c r="B760" s="1"/>
      <c r="C760" s="2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</row>
    <row r="761" spans="1:41" ht="13.5" customHeight="1">
      <c r="A761" s="1"/>
      <c r="B761" s="1"/>
      <c r="C761" s="2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</row>
    <row r="762" spans="1:41" ht="13.5" customHeight="1">
      <c r="A762" s="1"/>
      <c r="B762" s="1"/>
      <c r="C762" s="2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</row>
    <row r="763" spans="1:41" ht="13.5" customHeight="1">
      <c r="A763" s="1"/>
      <c r="B763" s="1"/>
      <c r="C763" s="2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</row>
    <row r="764" spans="1:41" ht="13.5" customHeight="1">
      <c r="A764" s="1"/>
      <c r="B764" s="1"/>
      <c r="C764" s="2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</row>
    <row r="765" spans="1:41" ht="13.5" customHeight="1">
      <c r="A765" s="1"/>
      <c r="B765" s="1"/>
      <c r="C765" s="2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</row>
    <row r="766" spans="1:41" ht="13.5" customHeight="1">
      <c r="A766" s="1"/>
      <c r="B766" s="1"/>
      <c r="C766" s="2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</row>
    <row r="767" spans="1:41" ht="13.5" customHeight="1">
      <c r="A767" s="1"/>
      <c r="B767" s="1"/>
      <c r="C767" s="2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</row>
    <row r="768" spans="1:41" ht="13.5" customHeight="1">
      <c r="A768" s="1"/>
      <c r="B768" s="1"/>
      <c r="C768" s="2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</row>
    <row r="769" spans="1:41" ht="13.5" customHeight="1">
      <c r="A769" s="1"/>
      <c r="B769" s="1"/>
      <c r="C769" s="2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</row>
    <row r="770" spans="1:41" ht="13.5" customHeight="1">
      <c r="A770" s="1"/>
      <c r="B770" s="1"/>
      <c r="C770" s="2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</row>
    <row r="771" spans="1:41" ht="13.5" customHeight="1">
      <c r="A771" s="1"/>
      <c r="B771" s="1"/>
      <c r="C771" s="2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</row>
    <row r="772" spans="1:41" ht="13.5" customHeight="1">
      <c r="A772" s="1"/>
      <c r="B772" s="1"/>
      <c r="C772" s="2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</row>
    <row r="773" spans="1:41" ht="13.5" customHeight="1">
      <c r="A773" s="1"/>
      <c r="B773" s="1"/>
      <c r="C773" s="2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</row>
    <row r="774" spans="1:41" ht="13.5" customHeight="1">
      <c r="A774" s="1"/>
      <c r="B774" s="1"/>
      <c r="C774" s="2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</row>
    <row r="775" spans="1:41" ht="13.5" customHeight="1">
      <c r="A775" s="1"/>
      <c r="B775" s="1"/>
      <c r="C775" s="2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</row>
    <row r="776" spans="1:41" ht="13.5" customHeight="1">
      <c r="A776" s="1"/>
      <c r="B776" s="1"/>
      <c r="C776" s="2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</row>
    <row r="777" spans="1:41" ht="13.5" customHeight="1">
      <c r="A777" s="1"/>
      <c r="B777" s="1"/>
      <c r="C777" s="2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</row>
    <row r="778" spans="1:41" ht="13.5" customHeight="1">
      <c r="A778" s="1"/>
      <c r="B778" s="1"/>
      <c r="C778" s="2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</row>
    <row r="779" spans="1:41" ht="13.5" customHeight="1">
      <c r="A779" s="1"/>
      <c r="B779" s="1"/>
      <c r="C779" s="2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</row>
    <row r="780" spans="1:41" ht="13.5" customHeight="1">
      <c r="A780" s="1"/>
      <c r="B780" s="1"/>
      <c r="C780" s="2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</row>
    <row r="781" spans="1:41" ht="13.5" customHeight="1">
      <c r="A781" s="1"/>
      <c r="B781" s="1"/>
      <c r="C781" s="2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</row>
    <row r="782" spans="1:41" ht="13.5" customHeight="1">
      <c r="A782" s="1"/>
      <c r="B782" s="1"/>
      <c r="C782" s="2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</row>
    <row r="783" spans="1:41" ht="13.5" customHeight="1">
      <c r="A783" s="1"/>
      <c r="B783" s="1"/>
      <c r="C783" s="2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</row>
    <row r="784" spans="1:41" ht="13.5" customHeight="1">
      <c r="A784" s="1"/>
      <c r="B784" s="1"/>
      <c r="C784" s="2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</row>
    <row r="785" spans="1:41" ht="13.5" customHeight="1">
      <c r="A785" s="1"/>
      <c r="B785" s="1"/>
      <c r="C785" s="2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</row>
    <row r="786" spans="1:41" ht="13.5" customHeight="1">
      <c r="A786" s="1"/>
      <c r="B786" s="1"/>
      <c r="C786" s="2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</row>
    <row r="787" spans="1:41" ht="13.5" customHeight="1">
      <c r="A787" s="1"/>
      <c r="B787" s="1"/>
      <c r="C787" s="2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</row>
    <row r="788" spans="1:41" ht="13.5" customHeight="1">
      <c r="A788" s="1"/>
      <c r="B788" s="1"/>
      <c r="C788" s="2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</row>
    <row r="789" spans="1:41" ht="13.5" customHeight="1">
      <c r="A789" s="1"/>
      <c r="B789" s="1"/>
      <c r="C789" s="2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</row>
    <row r="790" spans="1:41" ht="13.5" customHeight="1">
      <c r="A790" s="1"/>
      <c r="B790" s="1"/>
      <c r="C790" s="2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</row>
    <row r="791" spans="1:41" ht="13.5" customHeight="1">
      <c r="A791" s="1"/>
      <c r="B791" s="1"/>
      <c r="C791" s="2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</row>
    <row r="792" spans="1:41" ht="13.5" customHeight="1">
      <c r="A792" s="1"/>
      <c r="B792" s="1"/>
      <c r="C792" s="2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</row>
    <row r="793" spans="1:41" ht="13.5" customHeight="1">
      <c r="A793" s="1"/>
      <c r="B793" s="1"/>
      <c r="C793" s="2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</row>
    <row r="794" spans="1:41" ht="13.5" customHeight="1">
      <c r="A794" s="1"/>
      <c r="B794" s="1"/>
      <c r="C794" s="2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</row>
    <row r="795" spans="1:41" ht="13.5" customHeight="1">
      <c r="A795" s="1"/>
      <c r="B795" s="1"/>
      <c r="C795" s="2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</row>
    <row r="796" spans="1:41" ht="13.5" customHeight="1">
      <c r="A796" s="1"/>
      <c r="B796" s="1"/>
      <c r="C796" s="2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</row>
    <row r="797" spans="1:41" ht="13.5" customHeight="1">
      <c r="A797" s="1"/>
      <c r="B797" s="1"/>
      <c r="C797" s="2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</row>
    <row r="798" spans="1:41" ht="13.5" customHeight="1">
      <c r="A798" s="1"/>
      <c r="B798" s="1"/>
      <c r="C798" s="2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</row>
    <row r="799" spans="1:41" ht="13.5" customHeight="1">
      <c r="A799" s="1"/>
      <c r="B799" s="1"/>
      <c r="C799" s="2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</row>
    <row r="800" spans="1:41" ht="13.5" customHeight="1">
      <c r="A800" s="1"/>
      <c r="B800" s="1"/>
      <c r="C800" s="2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</row>
    <row r="801" spans="1:41" ht="13.5" customHeight="1">
      <c r="A801" s="1"/>
      <c r="B801" s="1"/>
      <c r="C801" s="2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</row>
    <row r="802" spans="1:41" ht="13.5" customHeight="1">
      <c r="A802" s="1"/>
      <c r="B802" s="1"/>
      <c r="C802" s="2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</row>
    <row r="803" spans="1:41" ht="13.5" customHeight="1">
      <c r="A803" s="1"/>
      <c r="B803" s="1"/>
      <c r="C803" s="2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</row>
    <row r="804" spans="1:41" ht="13.5" customHeight="1">
      <c r="A804" s="1"/>
      <c r="B804" s="1"/>
      <c r="C804" s="2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</row>
    <row r="805" spans="1:41" ht="13.5" customHeight="1">
      <c r="A805" s="1"/>
      <c r="B805" s="1"/>
      <c r="C805" s="2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</row>
    <row r="806" spans="1:41" ht="13.5" customHeight="1">
      <c r="A806" s="1"/>
      <c r="B806" s="1"/>
      <c r="C806" s="2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</row>
    <row r="807" spans="1:41" ht="13.5" customHeight="1">
      <c r="A807" s="1"/>
      <c r="B807" s="1"/>
      <c r="C807" s="2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</row>
    <row r="808" spans="1:41" ht="13.5" customHeight="1">
      <c r="A808" s="1"/>
      <c r="B808" s="1"/>
      <c r="C808" s="2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</row>
    <row r="809" spans="1:41" ht="13.5" customHeight="1">
      <c r="A809" s="1"/>
      <c r="B809" s="1"/>
      <c r="C809" s="2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</row>
    <row r="810" spans="1:41" ht="13.5" customHeight="1">
      <c r="A810" s="1"/>
      <c r="B810" s="1"/>
      <c r="C810" s="2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</row>
    <row r="811" spans="1:41" ht="13.5" customHeight="1">
      <c r="A811" s="1"/>
      <c r="B811" s="1"/>
      <c r="C811" s="2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</row>
    <row r="812" spans="1:41" ht="13.5" customHeight="1">
      <c r="A812" s="1"/>
      <c r="B812" s="1"/>
      <c r="C812" s="2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</row>
    <row r="813" spans="1:41" ht="13.5" customHeight="1">
      <c r="A813" s="1"/>
      <c r="B813" s="1"/>
      <c r="C813" s="2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</row>
    <row r="814" spans="1:41" ht="13.5" customHeight="1">
      <c r="A814" s="1"/>
      <c r="B814" s="1"/>
      <c r="C814" s="2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</row>
    <row r="815" spans="1:41" ht="13.5" customHeight="1">
      <c r="A815" s="1"/>
      <c r="B815" s="1"/>
      <c r="C815" s="2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</row>
    <row r="816" spans="1:41" ht="13.5" customHeight="1">
      <c r="A816" s="1"/>
      <c r="B816" s="1"/>
      <c r="C816" s="2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</row>
    <row r="817" spans="1:41" ht="13.5" customHeight="1">
      <c r="A817" s="1"/>
      <c r="B817" s="1"/>
      <c r="C817" s="2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</row>
    <row r="818" spans="1:41" ht="13.5" customHeight="1">
      <c r="A818" s="1"/>
      <c r="B818" s="1"/>
      <c r="C818" s="2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</row>
    <row r="819" spans="1:41" ht="13.5" customHeight="1">
      <c r="A819" s="1"/>
      <c r="B819" s="1"/>
      <c r="C819" s="2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</row>
    <row r="820" spans="1:41" ht="13.5" customHeight="1">
      <c r="A820" s="1"/>
      <c r="B820" s="1"/>
      <c r="C820" s="2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</row>
    <row r="821" spans="1:41" ht="13.5" customHeight="1">
      <c r="A821" s="1"/>
      <c r="B821" s="1"/>
      <c r="C821" s="2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</row>
    <row r="822" spans="1:41" ht="13.5" customHeight="1">
      <c r="A822" s="1"/>
      <c r="B822" s="1"/>
      <c r="C822" s="2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</row>
    <row r="823" spans="1:41" ht="13.5" customHeight="1">
      <c r="A823" s="1"/>
      <c r="B823" s="1"/>
      <c r="C823" s="2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</row>
    <row r="824" spans="1:41" ht="13.5" customHeight="1">
      <c r="A824" s="1"/>
      <c r="B824" s="1"/>
      <c r="C824" s="2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</row>
    <row r="825" spans="1:41" ht="13.5" customHeight="1">
      <c r="A825" s="1"/>
      <c r="B825" s="1"/>
      <c r="C825" s="2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</row>
    <row r="826" spans="1:41" ht="13.5" customHeight="1">
      <c r="A826" s="1"/>
      <c r="B826" s="1"/>
      <c r="C826" s="2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</row>
    <row r="827" spans="1:41" ht="13.5" customHeight="1">
      <c r="A827" s="1"/>
      <c r="B827" s="1"/>
      <c r="C827" s="2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</row>
    <row r="828" spans="1:41" ht="13.5" customHeight="1">
      <c r="A828" s="1"/>
      <c r="B828" s="1"/>
      <c r="C828" s="2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</row>
    <row r="829" spans="1:41" ht="13.5" customHeight="1">
      <c r="A829" s="1"/>
      <c r="B829" s="1"/>
      <c r="C829" s="2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</row>
    <row r="830" spans="1:41" ht="13.5" customHeight="1">
      <c r="A830" s="1"/>
      <c r="B830" s="1"/>
      <c r="C830" s="2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</row>
    <row r="831" spans="1:41" ht="13.5" customHeight="1">
      <c r="A831" s="1"/>
      <c r="B831" s="1"/>
      <c r="C831" s="2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</row>
    <row r="832" spans="1:41" ht="13.5" customHeight="1">
      <c r="A832" s="1"/>
      <c r="B832" s="1"/>
      <c r="C832" s="2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</row>
    <row r="833" spans="1:41" ht="13.5" customHeight="1">
      <c r="A833" s="1"/>
      <c r="B833" s="1"/>
      <c r="C833" s="2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</row>
    <row r="834" spans="1:41" ht="13.5" customHeight="1">
      <c r="A834" s="1"/>
      <c r="B834" s="1"/>
      <c r="C834" s="2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</row>
    <row r="835" spans="1:41" ht="13.5" customHeight="1">
      <c r="A835" s="1"/>
      <c r="B835" s="1"/>
      <c r="C835" s="2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</row>
    <row r="836" spans="1:41" ht="13.5" customHeight="1">
      <c r="A836" s="1"/>
      <c r="B836" s="1"/>
      <c r="C836" s="2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</row>
    <row r="837" spans="1:41" ht="13.5" customHeight="1">
      <c r="A837" s="1"/>
      <c r="B837" s="1"/>
      <c r="C837" s="2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</row>
    <row r="838" spans="1:41" ht="13.5" customHeight="1">
      <c r="A838" s="1"/>
      <c r="B838" s="1"/>
      <c r="C838" s="2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</row>
    <row r="839" spans="1:41" ht="13.5" customHeight="1">
      <c r="A839" s="1"/>
      <c r="B839" s="1"/>
      <c r="C839" s="2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</row>
    <row r="840" spans="1:41" ht="13.5" customHeight="1">
      <c r="A840" s="1"/>
      <c r="B840" s="1"/>
      <c r="C840" s="2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</row>
    <row r="841" spans="1:41" ht="13.5" customHeight="1">
      <c r="A841" s="1"/>
      <c r="B841" s="1"/>
      <c r="C841" s="2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</row>
    <row r="842" spans="1:41" ht="13.5" customHeight="1">
      <c r="A842" s="1"/>
      <c r="B842" s="1"/>
      <c r="C842" s="2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</row>
    <row r="843" spans="1:41" ht="13.5" customHeight="1">
      <c r="A843" s="1"/>
      <c r="B843" s="1"/>
      <c r="C843" s="2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</row>
    <row r="844" spans="1:41" ht="13.5" customHeight="1">
      <c r="A844" s="1"/>
      <c r="B844" s="1"/>
      <c r="C844" s="2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</row>
    <row r="845" spans="1:41" ht="13.5" customHeight="1">
      <c r="A845" s="1"/>
      <c r="B845" s="1"/>
      <c r="C845" s="2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</row>
    <row r="846" spans="1:41" ht="13.5" customHeight="1">
      <c r="A846" s="1"/>
      <c r="B846" s="1"/>
      <c r="C846" s="2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</row>
    <row r="847" spans="1:41" ht="13.5" customHeight="1">
      <c r="A847" s="1"/>
      <c r="B847" s="1"/>
      <c r="C847" s="2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</row>
    <row r="848" spans="1:41" ht="13.5" customHeight="1">
      <c r="A848" s="1"/>
      <c r="B848" s="1"/>
      <c r="C848" s="2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</row>
    <row r="849" spans="1:41" ht="13.5" customHeight="1">
      <c r="A849" s="1"/>
      <c r="B849" s="1"/>
      <c r="C849" s="2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</row>
    <row r="850" spans="1:41" ht="13.5" customHeight="1">
      <c r="A850" s="1"/>
      <c r="B850" s="1"/>
      <c r="C850" s="2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</row>
    <row r="851" spans="1:41" ht="13.5" customHeight="1">
      <c r="A851" s="1"/>
      <c r="B851" s="1"/>
      <c r="C851" s="2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</row>
    <row r="852" spans="1:41" ht="13.5" customHeight="1">
      <c r="A852" s="1"/>
      <c r="B852" s="1"/>
      <c r="C852" s="2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</row>
    <row r="853" spans="1:41" ht="13.5" customHeight="1">
      <c r="A853" s="1"/>
      <c r="B853" s="1"/>
      <c r="C853" s="2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</row>
    <row r="854" spans="1:41" ht="13.5" customHeight="1">
      <c r="A854" s="1"/>
      <c r="B854" s="1"/>
      <c r="C854" s="2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</row>
    <row r="855" spans="1:41" ht="13.5" customHeight="1">
      <c r="A855" s="1"/>
      <c r="B855" s="1"/>
      <c r="C855" s="2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</row>
    <row r="856" spans="1:41" ht="13.5" customHeight="1">
      <c r="A856" s="1"/>
      <c r="B856" s="1"/>
      <c r="C856" s="2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</row>
    <row r="857" spans="1:41" ht="13.5" customHeight="1">
      <c r="A857" s="1"/>
      <c r="B857" s="1"/>
      <c r="C857" s="2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</row>
    <row r="858" spans="1:41" ht="13.5" customHeight="1">
      <c r="A858" s="1"/>
      <c r="B858" s="1"/>
      <c r="C858" s="2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</row>
    <row r="859" spans="1:41" ht="13.5" customHeight="1">
      <c r="A859" s="1"/>
      <c r="B859" s="1"/>
      <c r="C859" s="2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</row>
    <row r="860" spans="1:41" ht="13.5" customHeight="1">
      <c r="A860" s="1"/>
      <c r="B860" s="1"/>
      <c r="C860" s="2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</row>
    <row r="861" spans="1:41" ht="13.5" customHeight="1">
      <c r="A861" s="1"/>
      <c r="B861" s="1"/>
      <c r="C861" s="2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</row>
    <row r="862" spans="1:41" ht="13.5" customHeight="1">
      <c r="A862" s="1"/>
      <c r="B862" s="1"/>
      <c r="C862" s="2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</row>
    <row r="863" spans="1:41" ht="13.5" customHeight="1">
      <c r="A863" s="1"/>
      <c r="B863" s="1"/>
      <c r="C863" s="2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</row>
    <row r="864" spans="1:41" ht="13.5" customHeight="1">
      <c r="A864" s="1"/>
      <c r="B864" s="1"/>
      <c r="C864" s="2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</row>
    <row r="865" spans="1:41" ht="13.5" customHeight="1">
      <c r="A865" s="1"/>
      <c r="B865" s="1"/>
      <c r="C865" s="2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</row>
    <row r="866" spans="1:41" ht="13.5" customHeight="1">
      <c r="A866" s="1"/>
      <c r="B866" s="1"/>
      <c r="C866" s="2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</row>
    <row r="867" spans="1:41" ht="13.5" customHeight="1">
      <c r="A867" s="1"/>
      <c r="B867" s="1"/>
      <c r="C867" s="2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</row>
    <row r="868" spans="1:41" ht="13.5" customHeight="1">
      <c r="A868" s="1"/>
      <c r="B868" s="1"/>
      <c r="C868" s="2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</row>
    <row r="869" spans="1:41" ht="13.5" customHeight="1">
      <c r="A869" s="1"/>
      <c r="B869" s="1"/>
      <c r="C869" s="2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</row>
    <row r="870" spans="1:41" ht="13.5" customHeight="1">
      <c r="A870" s="1"/>
      <c r="B870" s="1"/>
      <c r="C870" s="2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</row>
    <row r="871" spans="1:41" ht="13.5" customHeight="1">
      <c r="A871" s="1"/>
      <c r="B871" s="1"/>
      <c r="C871" s="2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</row>
    <row r="872" spans="1:41" ht="13.5" customHeight="1">
      <c r="A872" s="1"/>
      <c r="B872" s="1"/>
      <c r="C872" s="2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</row>
    <row r="873" spans="1:41" ht="13.5" customHeight="1">
      <c r="A873" s="1"/>
      <c r="B873" s="1"/>
      <c r="C873" s="2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</row>
    <row r="874" spans="1:41" ht="13.5" customHeight="1">
      <c r="A874" s="1"/>
      <c r="B874" s="1"/>
      <c r="C874" s="2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</row>
    <row r="875" spans="1:41" ht="13.5" customHeight="1">
      <c r="A875" s="1"/>
      <c r="B875" s="1"/>
      <c r="C875" s="2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</row>
    <row r="876" spans="1:41" ht="13.5" customHeight="1">
      <c r="A876" s="1"/>
      <c r="B876" s="1"/>
      <c r="C876" s="2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</row>
    <row r="877" spans="1:41" ht="13.5" customHeight="1">
      <c r="A877" s="1"/>
      <c r="B877" s="1"/>
      <c r="C877" s="2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</row>
    <row r="878" spans="1:41" ht="13.5" customHeight="1">
      <c r="A878" s="1"/>
      <c r="B878" s="1"/>
      <c r="C878" s="2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</row>
    <row r="879" spans="1:41" ht="13.5" customHeight="1">
      <c r="A879" s="1"/>
      <c r="B879" s="1"/>
      <c r="C879" s="2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</row>
    <row r="880" spans="1:41" ht="13.5" customHeight="1">
      <c r="A880" s="1"/>
      <c r="B880" s="1"/>
      <c r="C880" s="2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</row>
    <row r="881" spans="1:41" ht="13.5" customHeight="1">
      <c r="A881" s="1"/>
      <c r="B881" s="1"/>
      <c r="C881" s="2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</row>
    <row r="882" spans="1:41" ht="13.5" customHeight="1">
      <c r="A882" s="1"/>
      <c r="B882" s="1"/>
      <c r="C882" s="2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</row>
    <row r="883" spans="1:41" ht="13.5" customHeight="1">
      <c r="A883" s="1"/>
      <c r="B883" s="1"/>
      <c r="C883" s="2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</row>
    <row r="884" spans="1:41" ht="13.5" customHeight="1">
      <c r="A884" s="1"/>
      <c r="B884" s="1"/>
      <c r="C884" s="2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</row>
    <row r="885" spans="1:41" ht="13.5" customHeight="1">
      <c r="A885" s="1"/>
      <c r="B885" s="1"/>
      <c r="C885" s="2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</row>
    <row r="886" spans="1:41" ht="13.5" customHeight="1">
      <c r="A886" s="1"/>
      <c r="B886" s="1"/>
      <c r="C886" s="2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</row>
    <row r="887" spans="1:41" ht="13.5" customHeight="1">
      <c r="A887" s="1"/>
      <c r="B887" s="1"/>
      <c r="C887" s="2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</row>
    <row r="888" spans="1:41" ht="13.5" customHeight="1">
      <c r="A888" s="1"/>
      <c r="B888" s="1"/>
      <c r="C888" s="2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</row>
    <row r="889" spans="1:41" ht="13.5" customHeight="1">
      <c r="A889" s="1"/>
      <c r="B889" s="1"/>
      <c r="C889" s="2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</row>
    <row r="890" spans="1:41" ht="13.5" customHeight="1">
      <c r="A890" s="1"/>
      <c r="B890" s="1"/>
      <c r="C890" s="2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</row>
    <row r="891" spans="1:41" ht="13.5" customHeight="1">
      <c r="A891" s="1"/>
      <c r="B891" s="1"/>
      <c r="C891" s="2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</row>
    <row r="892" spans="1:41" ht="13.5" customHeight="1">
      <c r="A892" s="1"/>
      <c r="B892" s="1"/>
      <c r="C892" s="2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</row>
    <row r="893" spans="1:41" ht="13.5" customHeight="1">
      <c r="A893" s="1"/>
      <c r="B893" s="1"/>
      <c r="C893" s="2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</row>
    <row r="894" spans="1:41" ht="13.5" customHeight="1">
      <c r="A894" s="1"/>
      <c r="B894" s="1"/>
      <c r="C894" s="2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</row>
    <row r="895" spans="1:41" ht="13.5" customHeight="1">
      <c r="A895" s="1"/>
      <c r="B895" s="1"/>
      <c r="C895" s="2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</row>
    <row r="896" spans="1:41" ht="13.5" customHeight="1">
      <c r="A896" s="1"/>
      <c r="B896" s="1"/>
      <c r="C896" s="2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</row>
    <row r="897" spans="1:41" ht="13.5" customHeight="1">
      <c r="A897" s="1"/>
      <c r="B897" s="1"/>
      <c r="C897" s="2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</row>
    <row r="898" spans="1:41" ht="13.5" customHeight="1">
      <c r="A898" s="1"/>
      <c r="B898" s="1"/>
      <c r="C898" s="2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</row>
    <row r="899" spans="1:41" ht="13.5" customHeight="1">
      <c r="A899" s="1"/>
      <c r="B899" s="1"/>
      <c r="C899" s="2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</row>
    <row r="900" spans="1:41" ht="13.5" customHeight="1">
      <c r="A900" s="1"/>
      <c r="B900" s="1"/>
      <c r="C900" s="2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</row>
    <row r="901" spans="1:41" ht="13.5" customHeight="1">
      <c r="A901" s="1"/>
      <c r="B901" s="1"/>
      <c r="C901" s="2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</row>
    <row r="902" spans="1:41" ht="13.5" customHeight="1">
      <c r="A902" s="1"/>
      <c r="B902" s="1"/>
      <c r="C902" s="2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</row>
    <row r="903" spans="1:41" ht="13.5" customHeight="1">
      <c r="A903" s="1"/>
      <c r="B903" s="1"/>
      <c r="C903" s="2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</row>
    <row r="904" spans="1:41" ht="13.5" customHeight="1">
      <c r="A904" s="1"/>
      <c r="B904" s="1"/>
      <c r="C904" s="2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</row>
    <row r="905" spans="1:41" ht="13.5" customHeight="1">
      <c r="A905" s="1"/>
      <c r="B905" s="1"/>
      <c r="C905" s="2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</row>
    <row r="906" spans="1:41" ht="13.5" customHeight="1">
      <c r="A906" s="1"/>
      <c r="B906" s="1"/>
      <c r="C906" s="2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</row>
    <row r="907" spans="1:41" ht="13.5" customHeight="1">
      <c r="A907" s="1"/>
      <c r="B907" s="1"/>
      <c r="C907" s="2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</row>
    <row r="908" spans="1:41" ht="13.5" customHeight="1">
      <c r="A908" s="1"/>
      <c r="B908" s="1"/>
      <c r="C908" s="2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</row>
    <row r="909" spans="1:41" ht="13.5" customHeight="1">
      <c r="A909" s="1"/>
      <c r="B909" s="1"/>
      <c r="C909" s="2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</row>
    <row r="910" spans="1:41" ht="13.5" customHeight="1">
      <c r="A910" s="1"/>
      <c r="B910" s="1"/>
      <c r="C910" s="2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</row>
    <row r="911" spans="1:41" ht="13.5" customHeight="1">
      <c r="A911" s="1"/>
      <c r="B911" s="1"/>
      <c r="C911" s="2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</row>
    <row r="912" spans="1:41" ht="13.5" customHeight="1">
      <c r="A912" s="1"/>
      <c r="B912" s="1"/>
      <c r="C912" s="2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</row>
    <row r="913" spans="1:41" ht="13.5" customHeight="1">
      <c r="A913" s="1"/>
      <c r="B913" s="1"/>
      <c r="C913" s="2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</row>
    <row r="914" spans="1:41" ht="13.5" customHeight="1">
      <c r="A914" s="1"/>
      <c r="B914" s="1"/>
      <c r="C914" s="2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</row>
    <row r="915" spans="1:41" ht="13.5" customHeight="1">
      <c r="A915" s="1"/>
      <c r="B915" s="1"/>
      <c r="C915" s="2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</row>
    <row r="916" spans="1:41" ht="13.5" customHeight="1">
      <c r="A916" s="1"/>
      <c r="B916" s="1"/>
      <c r="C916" s="2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</row>
    <row r="917" spans="1:41" ht="13.5" customHeight="1">
      <c r="A917" s="1"/>
      <c r="B917" s="1"/>
      <c r="C917" s="2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</row>
    <row r="918" spans="1:41" ht="13.5" customHeight="1">
      <c r="A918" s="1"/>
      <c r="B918" s="1"/>
      <c r="C918" s="2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</row>
    <row r="919" spans="1:41" ht="13.5" customHeight="1">
      <c r="A919" s="1"/>
      <c r="B919" s="1"/>
      <c r="C919" s="2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</row>
    <row r="920" spans="1:41" ht="13.5" customHeight="1">
      <c r="A920" s="1"/>
      <c r="B920" s="1"/>
      <c r="C920" s="2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</row>
    <row r="921" spans="1:41" ht="13.5" customHeight="1">
      <c r="A921" s="1"/>
      <c r="B921" s="1"/>
      <c r="C921" s="2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</row>
    <row r="922" spans="1:41" ht="13.5" customHeight="1">
      <c r="A922" s="1"/>
      <c r="B922" s="1"/>
      <c r="C922" s="2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</row>
    <row r="923" spans="1:41" ht="13.5" customHeight="1">
      <c r="A923" s="1"/>
      <c r="B923" s="1"/>
      <c r="C923" s="2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</row>
    <row r="924" spans="1:41" ht="13.5" customHeight="1">
      <c r="A924" s="1"/>
      <c r="B924" s="1"/>
      <c r="C924" s="2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</row>
    <row r="925" spans="1:41" ht="13.5" customHeight="1">
      <c r="A925" s="1"/>
      <c r="B925" s="1"/>
      <c r="C925" s="2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</row>
    <row r="926" spans="1:41" ht="13.5" customHeight="1">
      <c r="A926" s="1"/>
      <c r="B926" s="1"/>
      <c r="C926" s="2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</row>
    <row r="927" spans="1:41" ht="13.5" customHeight="1">
      <c r="A927" s="1"/>
      <c r="B927" s="1"/>
      <c r="C927" s="2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</row>
    <row r="928" spans="1:41" ht="13.5" customHeight="1">
      <c r="A928" s="1"/>
      <c r="B928" s="1"/>
      <c r="C928" s="2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</row>
    <row r="929" spans="1:41" ht="13.5" customHeight="1">
      <c r="A929" s="1"/>
      <c r="B929" s="1"/>
      <c r="C929" s="2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</row>
    <row r="930" spans="1:41" ht="13.5" customHeight="1">
      <c r="A930" s="1"/>
      <c r="B930" s="1"/>
      <c r="C930" s="2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</row>
    <row r="931" spans="1:41" ht="13.5" customHeight="1">
      <c r="A931" s="1"/>
      <c r="B931" s="1"/>
      <c r="C931" s="2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</row>
    <row r="932" spans="1:41" ht="13.5" customHeight="1">
      <c r="A932" s="1"/>
      <c r="B932" s="1"/>
      <c r="C932" s="2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</row>
    <row r="933" spans="1:41" ht="13.5" customHeight="1">
      <c r="A933" s="1"/>
      <c r="B933" s="1"/>
      <c r="C933" s="2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</row>
    <row r="934" spans="1:41" ht="13.5" customHeight="1">
      <c r="A934" s="1"/>
      <c r="B934" s="1"/>
      <c r="C934" s="2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</row>
    <row r="935" spans="1:41" ht="13.5" customHeight="1">
      <c r="A935" s="1"/>
      <c r="B935" s="1"/>
      <c r="C935" s="2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</row>
    <row r="936" spans="1:41" ht="13.5" customHeight="1">
      <c r="A936" s="1"/>
      <c r="B936" s="1"/>
      <c r="C936" s="2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</row>
    <row r="937" spans="1:41" ht="13.5" customHeight="1">
      <c r="A937" s="1"/>
      <c r="B937" s="1"/>
      <c r="C937" s="2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</row>
    <row r="938" spans="1:41" ht="13.5" customHeight="1">
      <c r="A938" s="1"/>
      <c r="B938" s="1"/>
      <c r="C938" s="2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</row>
    <row r="939" spans="1:41" ht="13.5" customHeight="1">
      <c r="A939" s="1"/>
      <c r="B939" s="1"/>
      <c r="C939" s="2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</row>
    <row r="940" spans="1:41" ht="13.5" customHeight="1">
      <c r="A940" s="1"/>
      <c r="B940" s="1"/>
      <c r="C940" s="2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</row>
    <row r="941" spans="1:41" ht="13.5" customHeight="1">
      <c r="A941" s="1"/>
      <c r="B941" s="1"/>
      <c r="C941" s="2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</row>
    <row r="942" spans="1:41" ht="13.5" customHeight="1">
      <c r="A942" s="1"/>
      <c r="B942" s="1"/>
      <c r="C942" s="2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</row>
    <row r="943" spans="1:41" ht="13.5" customHeight="1">
      <c r="A943" s="1"/>
      <c r="B943" s="1"/>
      <c r="C943" s="2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</row>
    <row r="944" spans="1:41" ht="13.5" customHeight="1">
      <c r="A944" s="1"/>
      <c r="B944" s="1"/>
      <c r="C944" s="2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</row>
    <row r="945" spans="1:41" ht="13.5" customHeight="1">
      <c r="A945" s="1"/>
      <c r="B945" s="1"/>
      <c r="C945" s="2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</row>
    <row r="946" spans="1:41" ht="13.5" customHeight="1">
      <c r="A946" s="1"/>
      <c r="B946" s="1"/>
      <c r="C946" s="2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</row>
    <row r="947" spans="1:41" ht="13.5" customHeight="1">
      <c r="A947" s="1"/>
      <c r="B947" s="1"/>
      <c r="C947" s="2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</row>
    <row r="948" spans="1:41" ht="13.5" customHeight="1">
      <c r="A948" s="1"/>
      <c r="B948" s="1"/>
      <c r="C948" s="2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</row>
    <row r="949" spans="1:41" ht="13.5" customHeight="1">
      <c r="A949" s="1"/>
      <c r="B949" s="1"/>
      <c r="C949" s="2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</row>
    <row r="950" spans="1:41" ht="13.5" customHeight="1">
      <c r="A950" s="1"/>
      <c r="B950" s="1"/>
      <c r="C950" s="2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</row>
    <row r="951" spans="1:41" ht="13.5" customHeight="1">
      <c r="A951" s="1"/>
      <c r="B951" s="1"/>
      <c r="C951" s="2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</row>
    <row r="952" spans="1:41" ht="13.5" customHeight="1">
      <c r="A952" s="1"/>
      <c r="B952" s="1"/>
      <c r="C952" s="2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</row>
    <row r="953" spans="1:41" ht="13.5" customHeight="1">
      <c r="A953" s="1"/>
      <c r="B953" s="1"/>
      <c r="C953" s="2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</row>
    <row r="954" spans="1:41" ht="13.5" customHeight="1">
      <c r="A954" s="1"/>
      <c r="B954" s="1"/>
      <c r="C954" s="2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</row>
    <row r="955" spans="1:41" ht="13.5" customHeight="1">
      <c r="A955" s="1"/>
      <c r="B955" s="1"/>
      <c r="C955" s="2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</row>
    <row r="956" spans="1:41" ht="13.5" customHeight="1">
      <c r="A956" s="1"/>
      <c r="B956" s="1"/>
      <c r="C956" s="2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</row>
    <row r="957" spans="1:41" ht="13.5" customHeight="1">
      <c r="A957" s="1"/>
      <c r="B957" s="1"/>
      <c r="C957" s="2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</row>
    <row r="958" spans="1:41" ht="13.5" customHeight="1">
      <c r="A958" s="1"/>
      <c r="B958" s="1"/>
      <c r="C958" s="2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</row>
    <row r="959" spans="1:41" ht="13.5" customHeight="1">
      <c r="A959" s="1"/>
      <c r="B959" s="1"/>
      <c r="C959" s="2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</row>
    <row r="960" spans="1:41" ht="13.5" customHeight="1">
      <c r="A960" s="1"/>
      <c r="B960" s="1"/>
      <c r="C960" s="2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</row>
    <row r="961" spans="1:41" ht="13.5" customHeight="1">
      <c r="A961" s="1"/>
      <c r="B961" s="1"/>
      <c r="C961" s="2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</row>
    <row r="962" spans="1:41" ht="13.5" customHeight="1">
      <c r="A962" s="1"/>
      <c r="B962" s="1"/>
      <c r="C962" s="2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</row>
    <row r="963" spans="1:41" ht="13.5" customHeight="1">
      <c r="A963" s="1"/>
      <c r="B963" s="1"/>
      <c r="C963" s="2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</row>
    <row r="964" spans="1:41" ht="13.5" customHeight="1">
      <c r="A964" s="1"/>
      <c r="B964" s="1"/>
      <c r="C964" s="2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</row>
    <row r="965" spans="1:41" ht="13.5" customHeight="1">
      <c r="A965" s="1"/>
      <c r="B965" s="1"/>
      <c r="C965" s="2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</row>
    <row r="966" spans="1:41" ht="13.5" customHeight="1">
      <c r="A966" s="1"/>
      <c r="B966" s="1"/>
      <c r="C966" s="2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</row>
    <row r="967" spans="1:41" ht="13.5" customHeight="1">
      <c r="A967" s="1"/>
      <c r="B967" s="1"/>
      <c r="C967" s="2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</row>
    <row r="968" spans="1:41" ht="13.5" customHeight="1">
      <c r="A968" s="1"/>
      <c r="B968" s="1"/>
      <c r="C968" s="2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</row>
    <row r="969" spans="1:41" ht="13.5" customHeight="1">
      <c r="A969" s="1"/>
      <c r="B969" s="1"/>
      <c r="C969" s="2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</row>
    <row r="970" spans="1:41" ht="13.5" customHeight="1">
      <c r="A970" s="1"/>
      <c r="B970" s="1"/>
      <c r="C970" s="2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</row>
    <row r="971" spans="1:41" ht="13.5" customHeight="1">
      <c r="A971" s="1"/>
      <c r="B971" s="1"/>
      <c r="C971" s="2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</row>
    <row r="972" spans="1:41" ht="13.5" customHeight="1">
      <c r="A972" s="1"/>
      <c r="B972" s="1"/>
      <c r="C972" s="26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</row>
    <row r="973" spans="1:41" ht="13.5" customHeight="1">
      <c r="A973" s="1"/>
      <c r="B973" s="1"/>
      <c r="C973" s="2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</row>
    <row r="974" spans="1:41" ht="13.5" customHeight="1">
      <c r="A974" s="1"/>
      <c r="B974" s="1"/>
      <c r="C974" s="2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</row>
    <row r="975" spans="1:41" ht="13.5" customHeight="1">
      <c r="A975" s="1"/>
      <c r="B975" s="1"/>
      <c r="C975" s="26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</row>
    <row r="976" spans="1:41" ht="13.5" customHeight="1">
      <c r="A976" s="1"/>
      <c r="B976" s="1"/>
      <c r="C976" s="26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</row>
    <row r="977" spans="1:41" ht="13.5" customHeight="1">
      <c r="A977" s="1"/>
      <c r="B977" s="1"/>
      <c r="C977" s="26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</row>
    <row r="978" spans="1:41" ht="13.5" customHeight="1">
      <c r="A978" s="1"/>
      <c r="B978" s="1"/>
      <c r="C978" s="26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</row>
    <row r="979" spans="1:41" ht="13.5" customHeight="1">
      <c r="A979" s="1"/>
      <c r="B979" s="1"/>
      <c r="C979" s="26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</row>
    <row r="980" spans="1:41" ht="13.5" customHeight="1">
      <c r="A980" s="1"/>
      <c r="B980" s="1"/>
      <c r="C980" s="26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</row>
    <row r="981" spans="1:41" ht="13.5" customHeight="1">
      <c r="A981" s="1"/>
      <c r="B981" s="1"/>
      <c r="C981" s="26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</row>
    <row r="982" spans="1:41" ht="13.5" customHeight="1">
      <c r="A982" s="1"/>
      <c r="B982" s="1"/>
      <c r="C982" s="26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</row>
    <row r="983" spans="1:41" ht="13.5" customHeight="1">
      <c r="A983" s="1"/>
      <c r="B983" s="1"/>
      <c r="C983" s="26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</row>
    <row r="984" spans="1:41" ht="13.5" customHeight="1">
      <c r="A984" s="1"/>
      <c r="B984" s="1"/>
      <c r="C984" s="26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</row>
    <row r="985" spans="1:41" ht="13.5" customHeight="1">
      <c r="A985" s="1"/>
      <c r="B985" s="1"/>
      <c r="C985" s="26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</row>
    <row r="986" spans="1:41" ht="13.5" customHeight="1">
      <c r="A986" s="1"/>
      <c r="B986" s="1"/>
      <c r="C986" s="26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</row>
    <row r="987" spans="1:41" ht="13.5" customHeight="1">
      <c r="A987" s="1"/>
      <c r="B987" s="1"/>
      <c r="C987" s="26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</row>
    <row r="988" spans="1:41" ht="13.5" customHeight="1">
      <c r="A988" s="1"/>
      <c r="B988" s="1"/>
      <c r="C988" s="26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</row>
    <row r="989" spans="1:41" ht="13.5" customHeight="1">
      <c r="A989" s="1"/>
      <c r="B989" s="1"/>
      <c r="C989" s="26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</row>
    <row r="990" spans="1:41" ht="13.5" customHeight="1">
      <c r="A990" s="1"/>
      <c r="B990" s="1"/>
      <c r="C990" s="26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</row>
    <row r="991" spans="1:41" ht="13.5" customHeight="1">
      <c r="A991" s="1"/>
      <c r="B991" s="1"/>
      <c r="C991" s="26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</row>
    <row r="992" spans="1:41" ht="13.5" customHeight="1">
      <c r="A992" s="1"/>
      <c r="B992" s="1"/>
      <c r="C992" s="26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</row>
    <row r="993" spans="1:41" ht="13.5" customHeight="1">
      <c r="A993" s="1"/>
      <c r="B993" s="1"/>
      <c r="C993" s="26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</row>
    <row r="994" spans="1:41" ht="13.5" customHeight="1">
      <c r="A994" s="1"/>
      <c r="B994" s="1"/>
      <c r="C994" s="26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</row>
    <row r="995" spans="1:41" ht="13.5" customHeight="1">
      <c r="A995" s="1"/>
      <c r="B995" s="1"/>
      <c r="C995" s="26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</row>
    <row r="996" spans="1:41" ht="13.5" customHeight="1">
      <c r="A996" s="1"/>
      <c r="B996" s="1"/>
      <c r="C996" s="26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</row>
    <row r="997" spans="1:41" ht="13.5" customHeight="1">
      <c r="A997" s="1"/>
      <c r="B997" s="1"/>
      <c r="C997" s="26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</row>
    <row r="998" spans="1:41" ht="13.5" customHeight="1">
      <c r="A998" s="1"/>
      <c r="B998" s="1"/>
      <c r="C998" s="26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</row>
    <row r="999" spans="1:41" ht="13.5" customHeight="1">
      <c r="A999" s="1"/>
      <c r="B999" s="1"/>
      <c r="C999" s="26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</row>
    <row r="1000" spans="1:41" ht="13.5" customHeight="1">
      <c r="A1000" s="1"/>
      <c r="B1000" s="1"/>
      <c r="C1000" s="26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</row>
    <row r="1001" spans="1:41" ht="13.5" customHeight="1">
      <c r="A1001" s="1"/>
      <c r="B1001" s="1"/>
      <c r="C1001" s="26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</row>
    <row r="1002" spans="1:41" ht="13.5" customHeight="1">
      <c r="A1002" s="1"/>
      <c r="B1002" s="1"/>
      <c r="C1002" s="26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</row>
    <row r="1003" spans="1:41" ht="13.5" customHeight="1">
      <c r="A1003" s="1"/>
      <c r="B1003" s="1"/>
      <c r="C1003" s="26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</row>
    <row r="1004" spans="1:41" ht="13.5" customHeight="1">
      <c r="A1004" s="1"/>
      <c r="B1004" s="1"/>
      <c r="C1004" s="26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</row>
    <row r="1005" spans="1:41" ht="13.5" customHeight="1">
      <c r="A1005" s="1"/>
      <c r="B1005" s="1"/>
      <c r="C1005" s="26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</row>
    <row r="1006" spans="1:41" ht="13.5" customHeight="1">
      <c r="A1006" s="1"/>
      <c r="B1006" s="1"/>
      <c r="C1006" s="26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</row>
    <row r="1007" spans="1:41" ht="13.5" customHeight="1">
      <c r="A1007" s="1"/>
      <c r="B1007" s="1"/>
      <c r="C1007" s="26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</row>
    <row r="1008" spans="1:41" ht="13.5" customHeight="1">
      <c r="A1008" s="1"/>
      <c r="B1008" s="1"/>
      <c r="C1008" s="26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</row>
    <row r="1009" spans="1:41" ht="13.5" customHeight="1">
      <c r="A1009" s="1"/>
      <c r="B1009" s="1"/>
      <c r="C1009" s="26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</row>
    <row r="1010" spans="1:41" ht="13.5" customHeight="1">
      <c r="A1010" s="1"/>
      <c r="B1010" s="1"/>
      <c r="C1010" s="26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</row>
    <row r="1011" spans="1:41" ht="13.5" customHeight="1">
      <c r="A1011" s="1"/>
      <c r="B1011" s="1"/>
      <c r="C1011" s="26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</row>
    <row r="1012" spans="1:41" ht="13.5" customHeight="1">
      <c r="A1012" s="1"/>
      <c r="B1012" s="1"/>
      <c r="C1012" s="26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</row>
    <row r="1013" spans="1:41" ht="13.5" customHeight="1">
      <c r="A1013" s="1"/>
      <c r="B1013" s="1"/>
      <c r="C1013" s="26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</row>
    <row r="1014" spans="1:41" ht="13.5" customHeight="1">
      <c r="A1014" s="1"/>
      <c r="B1014" s="1"/>
      <c r="C1014" s="26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</row>
    <row r="1015" spans="1:41" ht="13.5" customHeight="1">
      <c r="A1015" s="1"/>
      <c r="B1015" s="1"/>
      <c r="C1015" s="26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</row>
    <row r="1016" spans="1:41" ht="13.5" customHeight="1">
      <c r="A1016" s="1"/>
      <c r="B1016" s="1"/>
      <c r="C1016" s="26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</row>
    <row r="1017" spans="1:41" ht="13.5" customHeight="1">
      <c r="A1017" s="1"/>
      <c r="B1017" s="1"/>
      <c r="C1017" s="26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</row>
    <row r="1018" spans="1:41" ht="13.5" customHeight="1">
      <c r="A1018" s="1"/>
      <c r="B1018" s="1"/>
      <c r="C1018" s="26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</row>
    <row r="1019" spans="1:41" ht="13.5" customHeight="1">
      <c r="A1019" s="1"/>
      <c r="B1019" s="1"/>
      <c r="C1019" s="26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</row>
    <row r="1020" spans="1:41" ht="13.5" customHeight="1">
      <c r="A1020" s="1"/>
      <c r="B1020" s="1"/>
      <c r="C1020" s="26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</row>
    <row r="1021" spans="1:41" ht="13.5" customHeight="1">
      <c r="A1021" s="1"/>
      <c r="B1021" s="1"/>
      <c r="C1021" s="26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</row>
    <row r="1022" spans="1:41" ht="13.5" customHeight="1">
      <c r="A1022" s="1"/>
      <c r="B1022" s="1"/>
      <c r="C1022" s="26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</row>
    <row r="1023" spans="1:41" ht="13.5" customHeight="1">
      <c r="A1023" s="1"/>
      <c r="B1023" s="1"/>
      <c r="C1023" s="26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</row>
    <row r="1024" spans="1:41" ht="13.5" customHeight="1">
      <c r="A1024" s="1"/>
      <c r="B1024" s="1"/>
      <c r="C1024" s="26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</row>
    <row r="1025" spans="1:41" ht="13.5" customHeight="1">
      <c r="A1025" s="1"/>
      <c r="B1025" s="1"/>
      <c r="C1025" s="26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</row>
    <row r="1026" spans="1:41" ht="13.5" customHeight="1">
      <c r="A1026" s="1"/>
      <c r="B1026" s="1"/>
      <c r="C1026" s="26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</row>
    <row r="1027" spans="1:41" ht="13.5" customHeight="1">
      <c r="A1027" s="1"/>
      <c r="B1027" s="1"/>
      <c r="C1027" s="26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</row>
    <row r="1028" spans="1:41" ht="13.5" customHeight="1">
      <c r="A1028" s="1"/>
      <c r="B1028" s="1"/>
      <c r="C1028" s="26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</row>
    <row r="1029" spans="1:41" ht="13.5" customHeight="1">
      <c r="A1029" s="1"/>
      <c r="B1029" s="1"/>
      <c r="C1029" s="26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</row>
    <row r="1030" spans="1:41" ht="13.5" customHeight="1">
      <c r="A1030" s="1"/>
      <c r="B1030" s="1"/>
      <c r="C1030" s="26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</row>
    <row r="1031" spans="1:41" ht="13.5" customHeight="1">
      <c r="A1031" s="1"/>
      <c r="B1031" s="1"/>
      <c r="C1031" s="26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</row>
    <row r="1032" spans="1:41" ht="13.5" customHeight="1">
      <c r="A1032" s="1"/>
      <c r="B1032" s="1"/>
      <c r="C1032" s="26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</row>
    <row r="1033" spans="1:41" ht="13.5" customHeight="1">
      <c r="A1033" s="1"/>
      <c r="B1033" s="1"/>
      <c r="C1033" s="26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</row>
    <row r="1034" spans="1:41" ht="13.5" customHeight="1">
      <c r="A1034" s="1"/>
      <c r="B1034" s="1"/>
      <c r="C1034" s="26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</row>
    <row r="1035" spans="1:41" ht="13.5" customHeight="1">
      <c r="A1035" s="1"/>
      <c r="B1035" s="1"/>
      <c r="C1035" s="26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</row>
    <row r="1036" spans="1:41" ht="13.5" customHeight="1">
      <c r="A1036" s="1"/>
      <c r="B1036" s="1"/>
      <c r="C1036" s="26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</row>
    <row r="1037" spans="1:41" ht="13.5" customHeight="1">
      <c r="A1037" s="1"/>
      <c r="B1037" s="1"/>
      <c r="C1037" s="26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</row>
    <row r="1038" spans="1:41" ht="13.5" customHeight="1">
      <c r="A1038" s="1"/>
      <c r="B1038" s="1"/>
      <c r="C1038" s="26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</row>
    <row r="1039" spans="1:41" ht="13.5" customHeight="1">
      <c r="A1039" s="1"/>
      <c r="B1039" s="1"/>
      <c r="C1039" s="26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</row>
    <row r="1040" spans="1:41" ht="13.5" customHeight="1">
      <c r="A1040" s="1"/>
      <c r="B1040" s="1"/>
      <c r="C1040" s="26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</row>
    <row r="1041" spans="1:41" ht="13.5" customHeight="1">
      <c r="A1041" s="1"/>
      <c r="B1041" s="1"/>
      <c r="C1041" s="26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</row>
    <row r="1042" spans="1:41" ht="13.5" customHeight="1">
      <c r="A1042" s="1"/>
      <c r="B1042" s="1"/>
      <c r="C1042" s="26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</row>
    <row r="1043" spans="1:41" ht="13.5" customHeight="1">
      <c r="A1043" s="1"/>
      <c r="B1043" s="1"/>
      <c r="C1043" s="26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</row>
    <row r="1044" spans="1:41" ht="13.5" customHeight="1">
      <c r="A1044" s="1"/>
      <c r="B1044" s="1"/>
      <c r="C1044" s="26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</row>
    <row r="1045" spans="1:41" ht="13.5" customHeight="1">
      <c r="A1045" s="1"/>
      <c r="B1045" s="1"/>
      <c r="C1045" s="26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</row>
    <row r="1046" spans="1:41" ht="13.5" customHeight="1">
      <c r="A1046" s="1"/>
      <c r="B1046" s="1"/>
      <c r="C1046" s="26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</row>
    <row r="1047" spans="1:41" ht="13.5" customHeight="1">
      <c r="A1047" s="1"/>
      <c r="B1047" s="1"/>
      <c r="C1047" s="26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</row>
    <row r="1048" spans="1:41" ht="13.5" customHeight="1">
      <c r="A1048" s="1"/>
      <c r="B1048" s="1"/>
      <c r="C1048" s="26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</row>
    <row r="1049" spans="1:41" ht="13.5" customHeight="1">
      <c r="A1049" s="1"/>
      <c r="B1049" s="1"/>
      <c r="C1049" s="26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</row>
    <row r="1050" spans="1:41" ht="13.5" customHeight="1">
      <c r="A1050" s="1"/>
      <c r="B1050" s="1"/>
      <c r="C1050" s="26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</row>
    <row r="1051" spans="1:41" ht="13.5" customHeight="1">
      <c r="A1051" s="1"/>
      <c r="B1051" s="1"/>
      <c r="C1051" s="26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</row>
    <row r="1052" spans="1:41" ht="13.5" customHeight="1">
      <c r="A1052" s="1"/>
      <c r="B1052" s="1"/>
      <c r="C1052" s="26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</row>
    <row r="1053" spans="1:41" ht="13.5" customHeight="1">
      <c r="A1053" s="1"/>
      <c r="B1053" s="1"/>
      <c r="C1053" s="26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</row>
    <row r="1054" spans="1:41" ht="13.5" customHeight="1">
      <c r="A1054" s="1"/>
      <c r="B1054" s="1"/>
      <c r="C1054" s="26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</row>
    <row r="1055" spans="1:41" ht="13.5" customHeight="1">
      <c r="A1055" s="1"/>
      <c r="B1055" s="1"/>
      <c r="C1055" s="26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</row>
    <row r="1056" spans="1:41" ht="13.5" customHeight="1">
      <c r="A1056" s="1"/>
      <c r="B1056" s="1"/>
      <c r="C1056" s="26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</row>
    <row r="1057" spans="1:41" ht="13.5" customHeight="1">
      <c r="A1057" s="1"/>
      <c r="B1057" s="1"/>
      <c r="C1057" s="26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</row>
    <row r="1058" spans="1:41" ht="13.5" customHeight="1">
      <c r="A1058" s="1"/>
      <c r="B1058" s="1"/>
      <c r="C1058" s="26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</row>
    <row r="1059" spans="1:41" ht="13.5" customHeight="1">
      <c r="A1059" s="1"/>
      <c r="B1059" s="1"/>
      <c r="C1059" s="26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</row>
    <row r="1060" spans="1:41" ht="13.5" customHeight="1">
      <c r="A1060" s="1"/>
      <c r="B1060" s="1"/>
      <c r="C1060" s="26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</row>
    <row r="1061" spans="1:41" ht="13.5" customHeight="1">
      <c r="A1061" s="1"/>
      <c r="B1061" s="1"/>
      <c r="C1061" s="26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</row>
    <row r="1062" spans="1:41" ht="13.5" customHeight="1">
      <c r="A1062" s="1"/>
      <c r="B1062" s="1"/>
      <c r="C1062" s="26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</row>
    <row r="1063" spans="1:41" ht="13.5" customHeight="1">
      <c r="A1063" s="1"/>
      <c r="B1063" s="1"/>
      <c r="C1063" s="26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</row>
    <row r="1064" spans="1:41" ht="13.5" customHeight="1">
      <c r="A1064" s="1"/>
      <c r="B1064" s="1"/>
      <c r="C1064" s="26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</row>
    <row r="1065" spans="1:41" ht="13.5" customHeight="1">
      <c r="A1065" s="1"/>
      <c r="B1065" s="1"/>
      <c r="C1065" s="26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</row>
    <row r="1066" spans="1:41" ht="13.5" customHeight="1">
      <c r="A1066" s="1"/>
      <c r="B1066" s="1"/>
      <c r="C1066" s="26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</row>
    <row r="1067" spans="1:41" ht="13.5" customHeight="1">
      <c r="A1067" s="1"/>
      <c r="B1067" s="1"/>
      <c r="C1067" s="26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</row>
    <row r="1068" spans="1:41" ht="13.5" customHeight="1">
      <c r="A1068" s="1"/>
      <c r="B1068" s="1"/>
      <c r="C1068" s="26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</row>
    <row r="1069" spans="1:41" ht="13.5" customHeight="1">
      <c r="A1069" s="1"/>
      <c r="B1069" s="1"/>
      <c r="C1069" s="26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</row>
    <row r="1070" spans="1:41" ht="13.5" customHeight="1">
      <c r="A1070" s="1"/>
      <c r="B1070" s="1"/>
      <c r="C1070" s="26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</row>
    <row r="1071" spans="1:41" ht="13.5" customHeight="1">
      <c r="A1071" s="1"/>
      <c r="B1071" s="1"/>
      <c r="C1071" s="26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</row>
    <row r="1072" spans="1:41" ht="13.5" customHeight="1">
      <c r="A1072" s="1"/>
      <c r="B1072" s="1"/>
      <c r="C1072" s="26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</row>
    <row r="1073" spans="1:41" ht="13.5" customHeight="1">
      <c r="A1073" s="1"/>
      <c r="B1073" s="1"/>
      <c r="C1073" s="26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</row>
    <row r="1074" spans="1:41" ht="13.5" customHeight="1">
      <c r="A1074" s="1"/>
      <c r="B1074" s="1"/>
      <c r="C1074" s="26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</row>
    <row r="1075" spans="1:41" ht="13.5" customHeight="1">
      <c r="A1075" s="1"/>
      <c r="B1075" s="1"/>
      <c r="C1075" s="26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</row>
    <row r="1076" spans="1:41" ht="13.5" customHeight="1">
      <c r="A1076" s="1"/>
      <c r="B1076" s="1"/>
      <c r="C1076" s="26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</row>
    <row r="1077" spans="1:41" ht="13.5" customHeight="1">
      <c r="A1077" s="1"/>
      <c r="B1077" s="1"/>
      <c r="C1077" s="26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</row>
    <row r="1078" spans="1:41" ht="13.5" customHeight="1">
      <c r="A1078" s="1"/>
      <c r="B1078" s="1"/>
      <c r="C1078" s="26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</row>
    <row r="1079" spans="1:41" ht="13.5" customHeight="1">
      <c r="A1079" s="1"/>
      <c r="B1079" s="1"/>
      <c r="C1079" s="26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</row>
    <row r="1080" spans="1:41" ht="13.5" customHeight="1">
      <c r="A1080" s="1"/>
      <c r="B1080" s="1"/>
      <c r="C1080" s="26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</row>
    <row r="1081" spans="1:41" ht="13.5" customHeight="1">
      <c r="A1081" s="1"/>
      <c r="B1081" s="1"/>
      <c r="C1081" s="26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</row>
    <row r="1082" spans="1:41" ht="13.5" customHeight="1">
      <c r="A1082" s="1"/>
      <c r="B1082" s="1"/>
      <c r="C1082" s="26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</row>
    <row r="1083" spans="1:41" ht="13.5" customHeight="1">
      <c r="A1083" s="1"/>
      <c r="B1083" s="1"/>
      <c r="C1083" s="26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</row>
    <row r="1084" spans="1:41" ht="13.5" customHeight="1">
      <c r="A1084" s="1"/>
      <c r="B1084" s="1"/>
      <c r="C1084" s="26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</row>
    <row r="1085" spans="1:41" ht="13.5" customHeight="1">
      <c r="A1085" s="1"/>
      <c r="B1085" s="1"/>
      <c r="C1085" s="26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</row>
    <row r="1086" spans="1:41" ht="13.5" customHeight="1">
      <c r="A1086" s="1"/>
      <c r="B1086" s="1"/>
      <c r="C1086" s="26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</row>
    <row r="1087" spans="1:41" ht="13.5" customHeight="1">
      <c r="A1087" s="1"/>
      <c r="B1087" s="1"/>
      <c r="C1087" s="26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</row>
    <row r="1088" spans="1:41" ht="13.5" customHeight="1">
      <c r="A1088" s="1"/>
      <c r="B1088" s="1"/>
      <c r="C1088" s="26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</row>
    <row r="1089" spans="1:41" ht="13.5" customHeight="1">
      <c r="A1089" s="1"/>
      <c r="B1089" s="1"/>
      <c r="C1089" s="26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</row>
    <row r="1090" spans="1:41" ht="13.5" customHeight="1">
      <c r="A1090" s="1"/>
      <c r="B1090" s="1"/>
      <c r="C1090" s="26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</row>
    <row r="1091" spans="1:41" ht="13.5" customHeight="1">
      <c r="A1091" s="1"/>
      <c r="B1091" s="1"/>
      <c r="C1091" s="26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</row>
    <row r="1092" spans="1:41" ht="13.5" customHeight="1">
      <c r="A1092" s="1"/>
      <c r="B1092" s="1"/>
      <c r="C1092" s="26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</row>
    <row r="1093" spans="1:41" ht="13.5" customHeight="1">
      <c r="A1093" s="1"/>
      <c r="B1093" s="1"/>
      <c r="C1093" s="26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</row>
    <row r="1094" spans="1:41" ht="13.5" customHeight="1">
      <c r="A1094" s="1"/>
      <c r="B1094" s="1"/>
      <c r="C1094" s="26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</row>
    <row r="1095" spans="1:41" ht="13.5" customHeight="1">
      <c r="A1095" s="1"/>
      <c r="B1095" s="1"/>
      <c r="C1095" s="26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</row>
    <row r="1096" spans="1:41" ht="13.5" customHeight="1">
      <c r="A1096" s="1"/>
      <c r="B1096" s="1"/>
      <c r="C1096" s="26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</row>
    <row r="1097" spans="1:41" ht="13.5" customHeight="1">
      <c r="A1097" s="1"/>
      <c r="B1097" s="1"/>
      <c r="C1097" s="26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</row>
    <row r="1098" spans="1:41" ht="13.5" customHeight="1">
      <c r="A1098" s="1"/>
      <c r="B1098" s="1"/>
      <c r="C1098" s="26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</row>
    <row r="1099" spans="1:41" ht="13.5" customHeight="1">
      <c r="A1099" s="1"/>
      <c r="B1099" s="1"/>
      <c r="C1099" s="26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</row>
    <row r="1100" spans="1:41" ht="13.5" customHeight="1">
      <c r="A1100" s="1"/>
      <c r="B1100" s="1"/>
      <c r="C1100" s="26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</row>
    <row r="1101" spans="1:41" ht="13.5" customHeight="1">
      <c r="A1101" s="1"/>
      <c r="B1101" s="1"/>
      <c r="C1101" s="26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</row>
    <row r="1102" spans="1:41" ht="13.5" customHeight="1">
      <c r="A1102" s="1"/>
      <c r="B1102" s="1"/>
      <c r="C1102" s="26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</row>
    <row r="1103" spans="1:41" ht="13.5" customHeight="1">
      <c r="A1103" s="1"/>
      <c r="B1103" s="1"/>
      <c r="C1103" s="26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</row>
    <row r="1104" spans="1:41" ht="13.5" customHeight="1">
      <c r="A1104" s="1"/>
      <c r="B1104" s="1"/>
      <c r="C1104" s="26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</row>
    <row r="1105" spans="1:41" ht="13.5" customHeight="1">
      <c r="A1105" s="1"/>
      <c r="B1105" s="1"/>
      <c r="C1105" s="26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</row>
    <row r="1106" spans="1:41" ht="13.5" customHeight="1">
      <c r="A1106" s="1"/>
      <c r="B1106" s="1"/>
      <c r="C1106" s="26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</row>
    <row r="1107" spans="1:41" ht="13.5" customHeight="1">
      <c r="A1107" s="1"/>
      <c r="B1107" s="1"/>
      <c r="C1107" s="26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</row>
    <row r="1108" spans="1:41" ht="13.5" customHeight="1">
      <c r="A1108" s="1"/>
      <c r="B1108" s="1"/>
      <c r="C1108" s="26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</row>
    <row r="1109" spans="1:41" ht="13.5" customHeight="1">
      <c r="A1109" s="1"/>
      <c r="B1109" s="1"/>
      <c r="C1109" s="26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</row>
    <row r="1110" spans="1:41" ht="13.5" customHeight="1">
      <c r="A1110" s="1"/>
      <c r="B1110" s="1"/>
      <c r="C1110" s="26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</row>
    <row r="1111" spans="1:41" ht="13.5" customHeight="1">
      <c r="A1111" s="1"/>
      <c r="B1111" s="1"/>
      <c r="C1111" s="26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</row>
    <row r="1112" spans="1:41" ht="13.5" customHeight="1">
      <c r="A1112" s="1"/>
      <c r="B1112" s="1"/>
      <c r="C1112" s="26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</row>
    <row r="1113" spans="1:41" ht="13.5" customHeight="1">
      <c r="A1113" s="1"/>
      <c r="B1113" s="1"/>
      <c r="C1113" s="26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</row>
    <row r="1114" spans="1:41" ht="13.5" customHeight="1">
      <c r="A1114" s="1"/>
      <c r="B1114" s="1"/>
      <c r="C1114" s="26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</row>
    <row r="1115" spans="1:41" ht="13.5" customHeight="1">
      <c r="A1115" s="1"/>
      <c r="B1115" s="1"/>
      <c r="C1115" s="26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</row>
    <row r="1116" spans="1:41" ht="13.5" customHeight="1">
      <c r="A1116" s="1"/>
      <c r="B1116" s="1"/>
      <c r="C1116" s="26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</row>
    <row r="1117" spans="1:41" ht="13.5" customHeight="1">
      <c r="A1117" s="1"/>
      <c r="B1117" s="1"/>
      <c r="C1117" s="26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</row>
    <row r="1118" spans="1:41" ht="13.5" customHeight="1">
      <c r="A1118" s="1"/>
      <c r="B1118" s="1"/>
      <c r="C1118" s="26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</row>
    <row r="1119" spans="1:41" ht="13.5" customHeight="1">
      <c r="A1119" s="1"/>
      <c r="B1119" s="1"/>
      <c r="C1119" s="26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</row>
    <row r="1120" spans="1:41" ht="13.5" customHeight="1">
      <c r="A1120" s="1"/>
      <c r="B1120" s="1"/>
      <c r="C1120" s="26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</row>
    <row r="1121" spans="1:41" ht="13.5" customHeight="1">
      <c r="A1121" s="1"/>
      <c r="B1121" s="1"/>
      <c r="C1121" s="26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</row>
    <row r="1122" spans="1:41" ht="13.5" customHeight="1">
      <c r="A1122" s="1"/>
      <c r="B1122" s="1"/>
      <c r="C1122" s="26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</row>
    <row r="1123" spans="1:41" ht="13.5" customHeight="1">
      <c r="A1123" s="1"/>
      <c r="B1123" s="1"/>
      <c r="C1123" s="26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</row>
    <row r="1124" spans="1:41" ht="13.5" customHeight="1">
      <c r="A1124" s="1"/>
      <c r="B1124" s="1"/>
      <c r="C1124" s="26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</row>
    <row r="1125" spans="1:41" ht="13.5" customHeight="1">
      <c r="A1125" s="1"/>
      <c r="B1125" s="1"/>
      <c r="C1125" s="26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</row>
    <row r="1126" spans="1:41" ht="13.5" customHeight="1">
      <c r="A1126" s="1"/>
      <c r="B1126" s="1"/>
      <c r="C1126" s="26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</row>
    <row r="1127" spans="1:41" ht="13.5" customHeight="1">
      <c r="A1127" s="1"/>
      <c r="B1127" s="1"/>
      <c r="C1127" s="26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</row>
    <row r="1128" spans="1:41" ht="13.5" customHeight="1">
      <c r="A1128" s="1"/>
      <c r="B1128" s="1"/>
      <c r="C1128" s="26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</row>
    <row r="1129" spans="1:41" ht="13.5" customHeight="1">
      <c r="A1129" s="1"/>
      <c r="B1129" s="1"/>
      <c r="C1129" s="26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</row>
    <row r="1130" spans="1:41" ht="13.5" customHeight="1">
      <c r="A1130" s="1"/>
      <c r="B1130" s="1"/>
      <c r="C1130" s="26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</row>
    <row r="1131" spans="1:41" ht="13.5" customHeight="1">
      <c r="A1131" s="1"/>
      <c r="B1131" s="1"/>
      <c r="C1131" s="26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</row>
    <row r="1132" spans="1:41" ht="13.5" customHeight="1">
      <c r="A1132" s="1"/>
      <c r="B1132" s="1"/>
      <c r="C1132" s="26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</row>
    <row r="1133" spans="1:41" ht="13.5" customHeight="1">
      <c r="A1133" s="1"/>
      <c r="B1133" s="1"/>
      <c r="C1133" s="26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</row>
    <row r="1134" spans="1:41" ht="13.5" customHeight="1">
      <c r="A1134" s="1"/>
      <c r="B1134" s="1"/>
      <c r="C1134" s="26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</row>
    <row r="1135" spans="1:41" ht="13.5" customHeight="1">
      <c r="A1135" s="1"/>
      <c r="B1135" s="1"/>
      <c r="C1135" s="26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</row>
    <row r="1136" spans="1:41" ht="13.5" customHeight="1">
      <c r="A1136" s="1"/>
      <c r="B1136" s="1"/>
      <c r="C1136" s="26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</row>
    <row r="1137" spans="1:41" ht="13.5" customHeight="1">
      <c r="A1137" s="1"/>
      <c r="B1137" s="1"/>
      <c r="C1137" s="26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</row>
    <row r="1138" spans="1:41" ht="13.5" customHeight="1">
      <c r="A1138" s="1"/>
      <c r="B1138" s="1"/>
      <c r="C1138" s="26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</row>
    <row r="1139" spans="1:41" ht="13.5" customHeight="1">
      <c r="A1139" s="1"/>
      <c r="B1139" s="1"/>
      <c r="C1139" s="26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</row>
    <row r="1140" spans="1:41" ht="13.5" customHeight="1">
      <c r="A1140" s="1"/>
      <c r="B1140" s="1"/>
      <c r="C1140" s="26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</row>
    <row r="1141" spans="1:41" ht="13.5" customHeight="1">
      <c r="A1141" s="1"/>
      <c r="B1141" s="1"/>
      <c r="C1141" s="26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</row>
    <row r="1142" spans="1:41" ht="13.5" customHeight="1">
      <c r="A1142" s="1"/>
      <c r="B1142" s="1"/>
      <c r="C1142" s="26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</row>
    <row r="1143" spans="1:41" ht="13.5" customHeight="1">
      <c r="A1143" s="1"/>
      <c r="B1143" s="1"/>
      <c r="C1143" s="26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</row>
    <row r="1144" spans="1:41" ht="13.5" customHeight="1">
      <c r="A1144" s="1"/>
      <c r="B1144" s="1"/>
      <c r="C1144" s="26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</row>
    <row r="1145" spans="1:41" ht="13.5" customHeight="1">
      <c r="A1145" s="1"/>
      <c r="B1145" s="1"/>
      <c r="C1145" s="26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</row>
    <row r="1146" spans="1:41" ht="13.5" customHeight="1">
      <c r="A1146" s="1"/>
      <c r="B1146" s="1"/>
      <c r="C1146" s="26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</row>
    <row r="1147" spans="1:41" ht="13.5" customHeight="1">
      <c r="A1147" s="1"/>
      <c r="B1147" s="1"/>
      <c r="C1147" s="26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</row>
    <row r="1148" spans="1:41" ht="13.5" customHeight="1">
      <c r="A1148" s="1"/>
      <c r="B1148" s="1"/>
      <c r="C1148" s="26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</row>
    <row r="1149" spans="1:41" ht="13.5" customHeight="1">
      <c r="A1149" s="1"/>
      <c r="B1149" s="1"/>
      <c r="C1149" s="26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</row>
    <row r="1150" spans="1:41" ht="13.5" customHeight="1">
      <c r="A1150" s="1"/>
      <c r="B1150" s="1"/>
      <c r="C1150" s="26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</row>
    <row r="1151" spans="1:41" ht="13.5" customHeight="1">
      <c r="A1151" s="1"/>
      <c r="B1151" s="1"/>
      <c r="C1151" s="26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</row>
    <row r="1152" spans="1:41" ht="13.5" customHeight="1">
      <c r="A1152" s="1"/>
      <c r="B1152" s="1"/>
      <c r="C1152" s="26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</row>
    <row r="1153" spans="1:41" ht="13.5" customHeight="1">
      <c r="A1153" s="1"/>
      <c r="B1153" s="1"/>
      <c r="C1153" s="26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</row>
    <row r="1154" spans="1:41" ht="13.5" customHeight="1">
      <c r="A1154" s="1"/>
      <c r="B1154" s="1"/>
      <c r="C1154" s="26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</row>
    <row r="1155" spans="1:41" ht="13.5" customHeight="1">
      <c r="A1155" s="1"/>
      <c r="B1155" s="1"/>
      <c r="C1155" s="26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</row>
    <row r="1156" spans="1:41" ht="13.5" customHeight="1">
      <c r="A1156" s="1"/>
      <c r="B1156" s="1"/>
      <c r="C1156" s="26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</row>
    <row r="1157" spans="1:41" ht="13.5" customHeight="1">
      <c r="A1157" s="1"/>
      <c r="B1157" s="1"/>
      <c r="C1157" s="26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</row>
    <row r="1158" spans="1:41" ht="13.5" customHeight="1">
      <c r="A1158" s="1"/>
      <c r="B1158" s="1"/>
      <c r="C1158" s="26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</row>
    <row r="1159" spans="1:41" ht="13.5" customHeight="1">
      <c r="A1159" s="1"/>
      <c r="B1159" s="1"/>
      <c r="C1159" s="26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</row>
    <row r="1160" spans="1:41" ht="13.5" customHeight="1">
      <c r="A1160" s="1"/>
      <c r="B1160" s="1"/>
      <c r="C1160" s="26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</row>
    <row r="1161" spans="1:41" ht="13.5" customHeight="1">
      <c r="A1161" s="1"/>
      <c r="B1161" s="1"/>
      <c r="C1161" s="26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</row>
    <row r="1162" spans="1:41" ht="13.5" customHeight="1">
      <c r="A1162" s="1"/>
      <c r="B1162" s="1"/>
      <c r="C1162" s="26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</row>
    <row r="1163" spans="1:41" ht="13.5" customHeight="1">
      <c r="A1163" s="1"/>
      <c r="B1163" s="1"/>
      <c r="C1163" s="26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</row>
    <row r="1164" spans="1:41" ht="13.5" customHeight="1">
      <c r="A1164" s="1"/>
      <c r="B1164" s="1"/>
      <c r="C1164" s="26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</row>
    <row r="1165" spans="1:41" ht="13.5" customHeight="1">
      <c r="A1165" s="1"/>
      <c r="B1165" s="1"/>
      <c r="C1165" s="26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</row>
    <row r="1166" spans="1:41" ht="13.5" customHeight="1">
      <c r="A1166" s="1"/>
      <c r="B1166" s="1"/>
      <c r="C1166" s="26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</row>
    <row r="1167" spans="1:41" ht="13.5" customHeight="1">
      <c r="A1167" s="1"/>
      <c r="B1167" s="1"/>
      <c r="C1167" s="26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</row>
    <row r="1168" spans="1:41" ht="13.5" customHeight="1">
      <c r="A1168" s="1"/>
      <c r="B1168" s="1"/>
      <c r="C1168" s="26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</row>
    <row r="1169" spans="1:41" ht="13.5" customHeight="1">
      <c r="A1169" s="1"/>
      <c r="B1169" s="1"/>
      <c r="C1169" s="26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</row>
    <row r="1170" spans="1:41" ht="13.5" customHeight="1">
      <c r="A1170" s="1"/>
      <c r="B1170" s="1"/>
      <c r="C1170" s="26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</row>
    <row r="1171" spans="1:41" ht="13.5" customHeight="1">
      <c r="A1171" s="1"/>
      <c r="B1171" s="1"/>
      <c r="C1171" s="26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</row>
    <row r="1172" spans="1:41" ht="13.5" customHeight="1">
      <c r="A1172" s="1"/>
      <c r="B1172" s="1"/>
      <c r="C1172" s="26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</row>
    <row r="1173" spans="1:41" ht="13.5" customHeight="1">
      <c r="A1173" s="1"/>
      <c r="B1173" s="1"/>
      <c r="C1173" s="26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</row>
    <row r="1174" spans="1:41" ht="13.5" customHeight="1">
      <c r="A1174" s="1"/>
      <c r="B1174" s="1"/>
      <c r="C1174" s="26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</row>
    <row r="1175" spans="1:41" ht="13.5" customHeight="1">
      <c r="A1175" s="1"/>
      <c r="B1175" s="1"/>
      <c r="C1175" s="26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</row>
    <row r="1176" spans="1:41" ht="13.5" customHeight="1">
      <c r="A1176" s="1"/>
      <c r="B1176" s="1"/>
      <c r="C1176" s="26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</row>
    <row r="1177" spans="1:41" ht="13.5" customHeight="1">
      <c r="A1177" s="1"/>
      <c r="B1177" s="1"/>
      <c r="C1177" s="26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</row>
    <row r="1178" spans="1:41" ht="13.5" customHeight="1">
      <c r="A1178" s="1"/>
      <c r="B1178" s="1"/>
      <c r="C1178" s="26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</row>
    <row r="1179" spans="1:41" ht="13.5" customHeight="1">
      <c r="A1179" s="1"/>
      <c r="B1179" s="1"/>
      <c r="C1179" s="26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</row>
    <row r="1180" spans="1:41" ht="13.5" customHeight="1">
      <c r="A1180" s="1"/>
      <c r="B1180" s="1"/>
      <c r="C1180" s="26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</row>
    <row r="1181" spans="1:41" ht="13.5" customHeight="1">
      <c r="A1181" s="1"/>
      <c r="B1181" s="1"/>
      <c r="C1181" s="26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</row>
    <row r="1182" spans="1:41" ht="13.5" customHeight="1">
      <c r="A1182" s="1"/>
      <c r="B1182" s="1"/>
      <c r="C1182" s="26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</row>
    <row r="1183" spans="1:41" ht="13.5" customHeight="1">
      <c r="A1183" s="1"/>
      <c r="B1183" s="1"/>
      <c r="C1183" s="26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</row>
    <row r="1184" spans="1:41" ht="13.5" customHeight="1">
      <c r="A1184" s="1"/>
      <c r="B1184" s="1"/>
      <c r="C1184" s="26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</row>
    <row r="1185" spans="1:41" ht="13.5" customHeight="1">
      <c r="A1185" s="1"/>
      <c r="B1185" s="1"/>
      <c r="C1185" s="26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</row>
    <row r="1186" spans="1:41" ht="13.5" customHeight="1">
      <c r="A1186" s="1"/>
      <c r="B1186" s="1"/>
      <c r="C1186" s="26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</row>
    <row r="1187" spans="1:41" ht="13.5" customHeight="1">
      <c r="A1187" s="1"/>
      <c r="B1187" s="1"/>
      <c r="C1187" s="26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</row>
    <row r="1188" spans="1:41" ht="13.5" customHeight="1">
      <c r="A1188" s="1"/>
      <c r="B1188" s="1"/>
      <c r="C1188" s="26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</row>
    <row r="1189" spans="1:41" ht="13.5" customHeight="1">
      <c r="A1189" s="1"/>
      <c r="B1189" s="1"/>
      <c r="C1189" s="26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</row>
    <row r="1190" spans="1:41" ht="13.5" customHeight="1">
      <c r="A1190" s="1"/>
      <c r="B1190" s="1"/>
      <c r="C1190" s="26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</row>
    <row r="1191" spans="1:41" ht="13.5" customHeight="1">
      <c r="A1191" s="1"/>
      <c r="B1191" s="1"/>
      <c r="C1191" s="26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</row>
    <row r="1192" spans="1:41" ht="13.5" customHeight="1">
      <c r="A1192" s="1"/>
      <c r="B1192" s="1"/>
      <c r="C1192" s="26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</row>
    <row r="1193" spans="1:41" ht="13.5" customHeight="1">
      <c r="A1193" s="1"/>
      <c r="B1193" s="1"/>
      <c r="C1193" s="26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</row>
    <row r="1194" spans="1:41" ht="13.5" customHeight="1">
      <c r="A1194" s="1"/>
      <c r="B1194" s="1"/>
      <c r="C1194" s="26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</row>
    <row r="1195" spans="1:41" ht="13.5" customHeight="1">
      <c r="A1195" s="1"/>
      <c r="B1195" s="1"/>
      <c r="C1195" s="26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</row>
    <row r="1196" spans="1:41" ht="13.5" customHeight="1">
      <c r="A1196" s="1"/>
      <c r="B1196" s="1"/>
      <c r="C1196" s="26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</row>
    <row r="1197" spans="1:41" ht="13.5" customHeight="1">
      <c r="A1197" s="1"/>
      <c r="B1197" s="1"/>
      <c r="C1197" s="26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</row>
    <row r="1198" spans="1:41" ht="13.5" customHeight="1">
      <c r="A1198" s="1"/>
      <c r="B1198" s="1"/>
      <c r="C1198" s="26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</row>
    <row r="1199" spans="1:41" ht="13.5" customHeight="1">
      <c r="A1199" s="1"/>
      <c r="B1199" s="1"/>
      <c r="C1199" s="26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</row>
    <row r="1200" spans="1:41" ht="13.5" customHeight="1">
      <c r="A1200" s="1"/>
      <c r="B1200" s="1"/>
      <c r="C1200" s="26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</row>
    <row r="1201" spans="1:41" ht="13.5" customHeight="1">
      <c r="A1201" s="1"/>
      <c r="B1201" s="1"/>
      <c r="C1201" s="26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</row>
    <row r="1202" spans="1:41" ht="13.5" customHeight="1">
      <c r="A1202" s="1"/>
      <c r="B1202" s="1"/>
      <c r="C1202" s="26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</row>
    <row r="1203" spans="1:41" ht="13.5" customHeight="1">
      <c r="A1203" s="1"/>
      <c r="B1203" s="1"/>
      <c r="C1203" s="26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</row>
    <row r="1204" spans="1:41" ht="13.5" customHeight="1">
      <c r="A1204" s="1"/>
      <c r="B1204" s="1"/>
      <c r="C1204" s="26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</row>
    <row r="1205" spans="1:41" ht="13.5" customHeight="1">
      <c r="A1205" s="1"/>
      <c r="B1205" s="1"/>
      <c r="C1205" s="26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</row>
    <row r="1206" spans="1:41" ht="13.5" customHeight="1">
      <c r="A1206" s="1"/>
      <c r="B1206" s="1"/>
      <c r="C1206" s="26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</row>
    <row r="1207" spans="1:41" ht="13.5" customHeight="1">
      <c r="A1207" s="1"/>
      <c r="B1207" s="1"/>
      <c r="C1207" s="26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</row>
    <row r="1208" spans="1:41" ht="13.5" customHeight="1">
      <c r="A1208" s="1"/>
      <c r="B1208" s="1"/>
      <c r="C1208" s="26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</row>
    <row r="1209" spans="1:41" ht="13.5" customHeight="1">
      <c r="A1209" s="1"/>
      <c r="B1209" s="1"/>
      <c r="C1209" s="26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</row>
    <row r="1210" spans="1:41" ht="13.5" customHeight="1">
      <c r="A1210" s="1"/>
      <c r="B1210" s="1"/>
      <c r="C1210" s="26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</row>
    <row r="1211" spans="1:41" ht="13.5" customHeight="1">
      <c r="A1211" s="1"/>
      <c r="B1211" s="1"/>
      <c r="C1211" s="26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</row>
    <row r="1212" spans="1:41" ht="13.5" customHeight="1">
      <c r="A1212" s="1"/>
      <c r="B1212" s="1"/>
      <c r="C1212" s="26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</row>
    <row r="1213" spans="1:41" ht="13.5" customHeight="1">
      <c r="A1213" s="1"/>
      <c r="B1213" s="1"/>
      <c r="C1213" s="26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</row>
    <row r="1214" spans="1:41" ht="13.5" customHeight="1">
      <c r="A1214" s="1"/>
      <c r="B1214" s="1"/>
      <c r="C1214" s="26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</row>
    <row r="1215" spans="1:41" ht="13.5" customHeight="1">
      <c r="A1215" s="1"/>
      <c r="B1215" s="1"/>
      <c r="C1215" s="26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</row>
    <row r="1216" spans="1:41" ht="13.5" customHeight="1">
      <c r="A1216" s="1"/>
      <c r="B1216" s="1"/>
      <c r="C1216" s="26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</row>
    <row r="1217" spans="1:41" ht="13.5" customHeight="1">
      <c r="A1217" s="1"/>
      <c r="B1217" s="1"/>
      <c r="C1217" s="26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</row>
    <row r="1218" spans="1:41" ht="13.5" customHeight="1">
      <c r="A1218" s="1"/>
      <c r="B1218" s="1"/>
      <c r="C1218" s="26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</row>
    <row r="1219" spans="1:41" ht="13.5" customHeight="1">
      <c r="A1219" s="1"/>
      <c r="B1219" s="1"/>
      <c r="C1219" s="26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</row>
    <row r="1220" spans="1:41" ht="13.5" customHeight="1">
      <c r="A1220" s="1"/>
      <c r="B1220" s="1"/>
      <c r="C1220" s="26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</row>
    <row r="1221" spans="1:41" ht="13.5" customHeight="1">
      <c r="A1221" s="1"/>
      <c r="B1221" s="1"/>
      <c r="C1221" s="26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</row>
    <row r="1222" spans="1:41" ht="13.5" customHeight="1">
      <c r="A1222" s="1"/>
      <c r="B1222" s="1"/>
      <c r="C1222" s="26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</row>
    <row r="1223" spans="1:41" ht="13.5" customHeight="1">
      <c r="A1223" s="1"/>
      <c r="B1223" s="1"/>
      <c r="C1223" s="26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</row>
    <row r="1224" spans="1:41" ht="13.5" customHeight="1">
      <c r="A1224" s="1"/>
      <c r="B1224" s="1"/>
      <c r="C1224" s="26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</row>
    <row r="1225" spans="1:41" ht="13.5" customHeight="1">
      <c r="A1225" s="1"/>
      <c r="B1225" s="1"/>
      <c r="C1225" s="26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</row>
    <row r="1226" spans="1:41" ht="13.5" customHeight="1">
      <c r="A1226" s="1"/>
      <c r="B1226" s="1"/>
      <c r="C1226" s="26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</row>
    <row r="1227" spans="1:41" ht="13.5" customHeight="1">
      <c r="A1227" s="1"/>
      <c r="B1227" s="1"/>
      <c r="C1227" s="26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</row>
    <row r="1228" spans="1:41" ht="13.5" customHeight="1">
      <c r="A1228" s="1"/>
      <c r="B1228" s="1"/>
      <c r="C1228" s="26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</row>
    <row r="1229" spans="1:41" ht="13.5" customHeight="1">
      <c r="A1229" s="1"/>
      <c r="B1229" s="1"/>
      <c r="C1229" s="26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</row>
    <row r="1230" spans="1:41" ht="13.5" customHeight="1">
      <c r="A1230" s="1"/>
      <c r="B1230" s="1"/>
      <c r="C1230" s="26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</row>
    <row r="1231" spans="1:41" ht="13.5" customHeight="1">
      <c r="A1231" s="1"/>
      <c r="B1231" s="1"/>
      <c r="C1231" s="26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</row>
    <row r="1232" spans="1:41" ht="13.5" customHeight="1">
      <c r="A1232" s="1"/>
      <c r="B1232" s="1"/>
      <c r="C1232" s="26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</row>
    <row r="1233" spans="1:41" ht="13.5" customHeight="1">
      <c r="A1233" s="1"/>
      <c r="B1233" s="1"/>
      <c r="C1233" s="26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</row>
    <row r="1234" spans="1:41" ht="13.5" customHeight="1">
      <c r="A1234" s="1"/>
      <c r="B1234" s="1"/>
      <c r="C1234" s="26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</row>
    <row r="1235" spans="1:41" ht="13.5" customHeight="1">
      <c r="A1235" s="1"/>
      <c r="B1235" s="1"/>
      <c r="C1235" s="26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</row>
    <row r="1236" spans="1:41" ht="13.5" customHeight="1">
      <c r="A1236" s="1"/>
      <c r="B1236" s="1"/>
      <c r="C1236" s="26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</row>
    <row r="1237" spans="1:41" ht="13.5" customHeight="1">
      <c r="A1237" s="1"/>
      <c r="B1237" s="1"/>
      <c r="C1237" s="26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</row>
    <row r="1238" spans="1:41" ht="13.5" customHeight="1">
      <c r="A1238" s="1"/>
      <c r="B1238" s="1"/>
      <c r="C1238" s="26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</row>
    <row r="1239" spans="1:41" ht="13.5" customHeight="1">
      <c r="A1239" s="1"/>
      <c r="B1239" s="1"/>
      <c r="C1239" s="26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</row>
    <row r="1240" spans="1:41" ht="13.5" customHeight="1">
      <c r="A1240" s="1"/>
      <c r="B1240" s="1"/>
      <c r="C1240" s="26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</row>
    <row r="1241" spans="1:41" ht="13.5" customHeight="1">
      <c r="A1241" s="1"/>
      <c r="B1241" s="1"/>
      <c r="C1241" s="26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</row>
    <row r="1242" spans="1:41" ht="13.5" customHeight="1">
      <c r="A1242" s="1"/>
      <c r="B1242" s="1"/>
      <c r="C1242" s="26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</row>
    <row r="1243" spans="1:41" ht="13.5" customHeight="1">
      <c r="A1243" s="1"/>
      <c r="B1243" s="1"/>
      <c r="C1243" s="26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</row>
    <row r="1244" spans="1:41" ht="13.5" customHeight="1">
      <c r="A1244" s="1"/>
      <c r="B1244" s="1"/>
      <c r="C1244" s="26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</row>
    <row r="1245" spans="1:41" ht="13.5" customHeight="1">
      <c r="A1245" s="1"/>
      <c r="B1245" s="1"/>
      <c r="C1245" s="26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</row>
    <row r="1246" spans="1:41" ht="13.5" customHeight="1">
      <c r="A1246" s="1"/>
      <c r="B1246" s="1"/>
      <c r="C1246" s="26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</row>
    <row r="1247" spans="1:41" ht="13.5" customHeight="1">
      <c r="A1247" s="1"/>
      <c r="B1247" s="1"/>
      <c r="C1247" s="26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</row>
    <row r="1248" spans="1:41" ht="13.5" customHeight="1">
      <c r="A1248" s="1"/>
      <c r="B1248" s="1"/>
      <c r="C1248" s="26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</row>
    <row r="1249" spans="1:41" ht="13.5" customHeight="1">
      <c r="A1249" s="1"/>
      <c r="B1249" s="1"/>
      <c r="C1249" s="26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</row>
    <row r="1250" spans="1:41" ht="13.5" customHeight="1">
      <c r="A1250" s="1"/>
      <c r="B1250" s="1"/>
      <c r="C1250" s="26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</row>
    <row r="1251" spans="1:41" ht="13.5" customHeight="1">
      <c r="A1251" s="1"/>
      <c r="B1251" s="1"/>
      <c r="C1251" s="26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</row>
    <row r="1252" spans="1:41" ht="13.5" customHeight="1">
      <c r="A1252" s="1"/>
      <c r="B1252" s="1"/>
      <c r="C1252" s="26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</row>
    <row r="1253" spans="1:41" ht="13.5" customHeight="1">
      <c r="A1253" s="1"/>
      <c r="B1253" s="1"/>
      <c r="C1253" s="26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</row>
    <row r="1254" spans="1:41" ht="13.5" customHeight="1">
      <c r="A1254" s="1"/>
      <c r="B1254" s="1"/>
      <c r="C1254" s="26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</row>
    <row r="1255" spans="1:41" ht="13.5" customHeight="1">
      <c r="A1255" s="1"/>
      <c r="B1255" s="1"/>
      <c r="C1255" s="26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</row>
    <row r="1256" spans="1:41" ht="13.5" customHeight="1">
      <c r="A1256" s="1"/>
      <c r="B1256" s="1"/>
      <c r="C1256" s="26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</row>
    <row r="1257" spans="1:41" ht="13.5" customHeight="1">
      <c r="A1257" s="1"/>
      <c r="B1257" s="1"/>
      <c r="C1257" s="26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</row>
    <row r="1258" spans="1:41" ht="13.5" customHeight="1">
      <c r="A1258" s="1"/>
      <c r="B1258" s="1"/>
      <c r="C1258" s="26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</row>
    <row r="1259" spans="1:41" ht="13.5" customHeight="1">
      <c r="A1259" s="1"/>
      <c r="B1259" s="1"/>
      <c r="C1259" s="26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</row>
    <row r="1260" spans="1:41" ht="13.5" customHeight="1">
      <c r="A1260" s="1"/>
      <c r="B1260" s="1"/>
      <c r="C1260" s="26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</row>
    <row r="1261" spans="1:41" ht="13.5" customHeight="1">
      <c r="A1261" s="1"/>
      <c r="B1261" s="1"/>
      <c r="C1261" s="26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</row>
    <row r="1262" spans="1:41" ht="13.5" customHeight="1">
      <c r="A1262" s="1"/>
      <c r="B1262" s="1"/>
      <c r="C1262" s="26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</row>
    <row r="1263" spans="1:41" ht="13.5" customHeight="1">
      <c r="A1263" s="1"/>
      <c r="B1263" s="1"/>
      <c r="C1263" s="26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</row>
    <row r="1264" spans="1:41" ht="13.5" customHeight="1">
      <c r="A1264" s="1"/>
      <c r="B1264" s="1"/>
      <c r="C1264" s="26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</row>
    <row r="1265" spans="1:41" ht="13.5" customHeight="1">
      <c r="A1265" s="1"/>
      <c r="B1265" s="1"/>
      <c r="C1265" s="26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</row>
    <row r="1266" spans="1:41" ht="13.5" customHeight="1">
      <c r="A1266" s="1"/>
      <c r="B1266" s="1"/>
      <c r="C1266" s="26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</row>
    <row r="1267" spans="1:41" ht="13.5" customHeight="1">
      <c r="A1267" s="1"/>
      <c r="B1267" s="1"/>
      <c r="C1267" s="26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</row>
    <row r="1268" spans="1:41" ht="13.5" customHeight="1">
      <c r="A1268" s="1"/>
      <c r="B1268" s="1"/>
      <c r="C1268" s="26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</row>
    <row r="1269" spans="1:41" ht="13.5" customHeight="1">
      <c r="A1269" s="1"/>
      <c r="B1269" s="1"/>
      <c r="C1269" s="26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</row>
    <row r="1270" spans="1:41" ht="13.5" customHeight="1">
      <c r="A1270" s="1"/>
      <c r="B1270" s="1"/>
      <c r="C1270" s="26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</row>
    <row r="1271" spans="1:41" ht="13.5" customHeight="1">
      <c r="A1271" s="1"/>
      <c r="B1271" s="1"/>
      <c r="C1271" s="26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</row>
    <row r="1272" spans="1:41" ht="13.5" customHeight="1">
      <c r="A1272" s="1"/>
      <c r="B1272" s="1"/>
      <c r="C1272" s="26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</row>
    <row r="1273" spans="1:41" ht="13.5" customHeight="1">
      <c r="A1273" s="1"/>
      <c r="B1273" s="1"/>
      <c r="C1273" s="26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</row>
    <row r="1274" spans="1:41" ht="13.5" customHeight="1">
      <c r="A1274" s="1"/>
      <c r="B1274" s="1"/>
      <c r="C1274" s="26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</row>
    <row r="1275" spans="1:41" ht="13.5" customHeight="1">
      <c r="A1275" s="1"/>
      <c r="B1275" s="1"/>
      <c r="C1275" s="26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</row>
    <row r="1276" spans="1:41" ht="13.5" customHeight="1">
      <c r="A1276" s="1"/>
      <c r="B1276" s="1"/>
      <c r="C1276" s="26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</row>
    <row r="1277" spans="1:41" ht="13.5" customHeight="1">
      <c r="A1277" s="1"/>
      <c r="B1277" s="1"/>
      <c r="C1277" s="26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</row>
    <row r="1278" spans="1:41" ht="13.5" customHeight="1">
      <c r="A1278" s="1"/>
      <c r="B1278" s="1"/>
      <c r="C1278" s="26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</row>
    <row r="1279" spans="1:41" ht="13.5" customHeight="1">
      <c r="A1279" s="1"/>
      <c r="B1279" s="1"/>
      <c r="C1279" s="26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</row>
    <row r="1280" spans="1:41" ht="13.5" customHeight="1">
      <c r="A1280" s="1"/>
      <c r="B1280" s="1"/>
      <c r="C1280" s="26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</row>
    <row r="1281" spans="1:41" ht="13.5" customHeight="1">
      <c r="A1281" s="1"/>
      <c r="B1281" s="1"/>
      <c r="C1281" s="26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</row>
    <row r="1282" spans="1:41" ht="13.5" customHeight="1">
      <c r="A1282" s="1"/>
      <c r="B1282" s="1"/>
      <c r="C1282" s="26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</row>
    <row r="1283" spans="1:41" ht="13.5" customHeight="1">
      <c r="A1283" s="1"/>
      <c r="B1283" s="1"/>
      <c r="C1283" s="26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</row>
    <row r="1284" spans="1:41" ht="13.5" customHeight="1">
      <c r="A1284" s="1"/>
      <c r="B1284" s="1"/>
      <c r="C1284" s="26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</row>
    <row r="1285" spans="1:41" ht="13.5" customHeight="1">
      <c r="A1285" s="1"/>
      <c r="B1285" s="1"/>
      <c r="C1285" s="26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</row>
    <row r="1286" spans="1:41" ht="13.5" customHeight="1">
      <c r="A1286" s="1"/>
      <c r="B1286" s="1"/>
      <c r="C1286" s="26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</row>
    <row r="1287" spans="1:41" ht="13.5" customHeight="1">
      <c r="A1287" s="1"/>
      <c r="B1287" s="1"/>
      <c r="C1287" s="26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</row>
    <row r="1288" spans="1:41" ht="13.5" customHeight="1">
      <c r="A1288" s="1"/>
      <c r="B1288" s="1"/>
      <c r="C1288" s="26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</row>
    <row r="1289" spans="1:41" ht="13.5" customHeight="1">
      <c r="A1289" s="1"/>
      <c r="B1289" s="1"/>
      <c r="C1289" s="26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</row>
    <row r="1290" spans="1:41" ht="13.5" customHeight="1">
      <c r="A1290" s="1"/>
      <c r="B1290" s="1"/>
      <c r="C1290" s="26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</row>
    <row r="1291" spans="1:41" ht="13.5" customHeight="1">
      <c r="A1291" s="1"/>
      <c r="B1291" s="1"/>
      <c r="C1291" s="26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</row>
    <row r="1292" spans="1:41" ht="13.5" customHeight="1">
      <c r="A1292" s="1"/>
      <c r="B1292" s="1"/>
      <c r="C1292" s="26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</row>
    <row r="1293" spans="1:41" ht="13.5" customHeight="1">
      <c r="A1293" s="1"/>
      <c r="B1293" s="1"/>
      <c r="C1293" s="26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</row>
    <row r="1294" spans="1:41" ht="13.5" customHeight="1">
      <c r="A1294" s="1"/>
      <c r="B1294" s="1"/>
      <c r="C1294" s="26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</row>
    <row r="1295" spans="1:41" ht="13.5" customHeight="1">
      <c r="A1295" s="1"/>
      <c r="B1295" s="1"/>
      <c r="C1295" s="26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</row>
    <row r="1296" spans="1:41" ht="13.5" customHeight="1">
      <c r="A1296" s="1"/>
      <c r="B1296" s="1"/>
      <c r="C1296" s="26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</row>
    <row r="1297" spans="1:41" ht="13.5" customHeight="1">
      <c r="A1297" s="1"/>
      <c r="B1297" s="1"/>
      <c r="C1297" s="26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</row>
    <row r="1298" spans="1:41" ht="13.5" customHeight="1">
      <c r="A1298" s="1"/>
      <c r="B1298" s="1"/>
      <c r="C1298" s="26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</row>
    <row r="1299" spans="1:41" ht="13.5" customHeight="1">
      <c r="A1299" s="1"/>
      <c r="B1299" s="1"/>
      <c r="C1299" s="26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</row>
    <row r="1300" spans="1:41" ht="13.5" customHeight="1">
      <c r="A1300" s="1"/>
      <c r="B1300" s="1"/>
      <c r="C1300" s="26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</row>
    <row r="1301" spans="1:41" ht="13.5" customHeight="1">
      <c r="A1301" s="1"/>
      <c r="B1301" s="1"/>
      <c r="C1301" s="26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</row>
    <row r="1302" spans="1:41" ht="13.5" customHeight="1">
      <c r="A1302" s="1"/>
      <c r="B1302" s="1"/>
      <c r="C1302" s="26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</row>
    <row r="1303" spans="1:41" ht="13.5" customHeight="1">
      <c r="A1303" s="1"/>
      <c r="B1303" s="1"/>
      <c r="C1303" s="26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</row>
    <row r="1304" spans="1:41" ht="13.5" customHeight="1">
      <c r="A1304" s="1"/>
      <c r="B1304" s="1"/>
      <c r="C1304" s="26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</row>
    <row r="1305" spans="1:41" ht="13.5" customHeight="1">
      <c r="A1305" s="1"/>
      <c r="B1305" s="1"/>
      <c r="C1305" s="26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</row>
    <row r="1306" spans="1:41" ht="13.5" customHeight="1">
      <c r="A1306" s="1"/>
      <c r="B1306" s="1"/>
      <c r="C1306" s="26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</row>
    <row r="1307" spans="1:41" ht="13.5" customHeight="1">
      <c r="A1307" s="1"/>
      <c r="B1307" s="1"/>
      <c r="C1307" s="26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</row>
    <row r="1308" spans="1:41" ht="13.5" customHeight="1">
      <c r="A1308" s="1"/>
      <c r="B1308" s="1"/>
      <c r="C1308" s="26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</row>
    <row r="1309" spans="1:41" ht="13.5" customHeight="1">
      <c r="A1309" s="1"/>
      <c r="B1309" s="1"/>
      <c r="C1309" s="26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</row>
    <row r="1310" spans="1:41" ht="13.5" customHeight="1">
      <c r="A1310" s="1"/>
      <c r="B1310" s="1"/>
      <c r="C1310" s="26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</row>
    <row r="1311" spans="1:41" ht="13.5" customHeight="1">
      <c r="A1311" s="1"/>
      <c r="B1311" s="1"/>
      <c r="C1311" s="26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</row>
    <row r="1312" spans="1:41" ht="13.5" customHeight="1">
      <c r="A1312" s="1"/>
      <c r="B1312" s="1"/>
      <c r="C1312" s="26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</row>
    <row r="1313" spans="1:41" ht="13.5" customHeight="1">
      <c r="A1313" s="1"/>
      <c r="B1313" s="1"/>
      <c r="C1313" s="26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</row>
    <row r="1314" spans="1:41" ht="13.5" customHeight="1">
      <c r="A1314" s="1"/>
      <c r="B1314" s="1"/>
      <c r="C1314" s="26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</row>
    <row r="1315" spans="1:41" ht="13.5" customHeight="1">
      <c r="A1315" s="1"/>
      <c r="B1315" s="1"/>
      <c r="C1315" s="26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</row>
    <row r="1316" spans="1:41" ht="13.5" customHeight="1">
      <c r="A1316" s="1"/>
      <c r="B1316" s="1"/>
      <c r="C1316" s="26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</row>
    <row r="1317" spans="1:41" ht="13.5" customHeight="1">
      <c r="A1317" s="1"/>
      <c r="B1317" s="1"/>
      <c r="C1317" s="26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</row>
    <row r="1318" spans="1:41" ht="13.5" customHeight="1">
      <c r="A1318" s="1"/>
      <c r="B1318" s="1"/>
      <c r="C1318" s="26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</row>
    <row r="1319" spans="1:41" ht="13.5" customHeight="1">
      <c r="A1319" s="1"/>
      <c r="B1319" s="1"/>
      <c r="C1319" s="26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</row>
    <row r="1320" spans="1:41" ht="13.5" customHeight="1">
      <c r="A1320" s="1"/>
      <c r="B1320" s="1"/>
      <c r="C1320" s="26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</row>
    <row r="1321" spans="1:41" ht="13.5" customHeight="1">
      <c r="A1321" s="1"/>
      <c r="B1321" s="1"/>
      <c r="C1321" s="26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</row>
    <row r="1322" spans="1:41" ht="13.5" customHeight="1">
      <c r="A1322" s="1"/>
      <c r="B1322" s="1"/>
      <c r="C1322" s="26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</row>
    <row r="1323" spans="1:41" ht="13.5" customHeight="1">
      <c r="A1323" s="1"/>
      <c r="B1323" s="1"/>
      <c r="C1323" s="26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</row>
    <row r="1324" spans="1:41" ht="13.5" customHeight="1">
      <c r="A1324" s="1"/>
      <c r="B1324" s="1"/>
      <c r="C1324" s="26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</row>
    <row r="1325" spans="1:41" ht="13.5" customHeight="1">
      <c r="A1325" s="1"/>
      <c r="B1325" s="1"/>
      <c r="C1325" s="26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</row>
    <row r="1326" spans="1:41" ht="13.5" customHeight="1">
      <c r="A1326" s="1"/>
      <c r="B1326" s="1"/>
      <c r="C1326" s="26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</row>
    <row r="1327" spans="1:41" ht="13.5" customHeight="1">
      <c r="A1327" s="1"/>
      <c r="B1327" s="1"/>
      <c r="C1327" s="26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</row>
    <row r="1328" spans="1:41" ht="13.5" customHeight="1">
      <c r="A1328" s="1"/>
      <c r="B1328" s="1"/>
      <c r="C1328" s="26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</row>
    <row r="1329" spans="1:41" ht="13.5" customHeight="1">
      <c r="A1329" s="1"/>
      <c r="B1329" s="1"/>
      <c r="C1329" s="26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</row>
    <row r="1330" spans="1:41" ht="13.5" customHeight="1">
      <c r="A1330" s="1"/>
      <c r="B1330" s="1"/>
      <c r="C1330" s="26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</row>
    <row r="1331" spans="1:41" ht="13.5" customHeight="1">
      <c r="A1331" s="1"/>
      <c r="B1331" s="1"/>
      <c r="C1331" s="26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</row>
    <row r="1332" spans="1:41" ht="13.5" customHeight="1">
      <c r="A1332" s="1"/>
      <c r="B1332" s="1"/>
      <c r="C1332" s="26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</row>
    <row r="1333" spans="1:41" ht="13.5" customHeight="1">
      <c r="A1333" s="1"/>
      <c r="B1333" s="1"/>
      <c r="C1333" s="26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</row>
    <row r="1334" spans="1:41" ht="13.5" customHeight="1">
      <c r="A1334" s="1"/>
      <c r="B1334" s="1"/>
      <c r="C1334" s="26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</row>
    <row r="1335" spans="1:41" ht="13.5" customHeight="1">
      <c r="A1335" s="1"/>
      <c r="B1335" s="1"/>
      <c r="C1335" s="26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</row>
    <row r="1336" spans="1:41" ht="13.5" customHeight="1">
      <c r="A1336" s="1"/>
      <c r="B1336" s="1"/>
      <c r="C1336" s="26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</row>
    <row r="1337" spans="1:41" ht="13.5" customHeight="1">
      <c r="A1337" s="1"/>
      <c r="B1337" s="1"/>
      <c r="C1337" s="26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</row>
    <row r="1338" spans="1:41" ht="13.5" customHeight="1">
      <c r="A1338" s="1"/>
      <c r="B1338" s="1"/>
      <c r="C1338" s="26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</row>
    <row r="1339" spans="1:41" ht="13.5" customHeight="1">
      <c r="A1339" s="1"/>
      <c r="B1339" s="1"/>
      <c r="C1339" s="26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</row>
    <row r="1340" spans="1:41" ht="13.5" customHeight="1">
      <c r="A1340" s="1"/>
      <c r="B1340" s="1"/>
      <c r="C1340" s="26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</row>
    <row r="1341" spans="1:41" ht="13.5" customHeight="1">
      <c r="A1341" s="1"/>
      <c r="B1341" s="1"/>
      <c r="C1341" s="26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</row>
    <row r="1342" spans="1:41" ht="13.5" customHeight="1">
      <c r="A1342" s="1"/>
      <c r="B1342" s="1"/>
      <c r="C1342" s="26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</row>
    <row r="1343" spans="1:41" ht="13.5" customHeight="1">
      <c r="A1343" s="1"/>
      <c r="B1343" s="1"/>
      <c r="C1343" s="26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</row>
    <row r="1344" spans="1:41" ht="13.5" customHeight="1">
      <c r="A1344" s="1"/>
      <c r="B1344" s="1"/>
      <c r="C1344" s="26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</row>
    <row r="1345" spans="1:41" ht="13.5" customHeight="1">
      <c r="A1345" s="1"/>
      <c r="B1345" s="1"/>
      <c r="C1345" s="26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</row>
    <row r="1346" spans="1:41" ht="13.5" customHeight="1">
      <c r="A1346" s="1"/>
      <c r="B1346" s="1"/>
      <c r="C1346" s="26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</row>
    <row r="1347" spans="1:41" ht="13.5" customHeight="1">
      <c r="A1347" s="1"/>
      <c r="B1347" s="1"/>
      <c r="C1347" s="26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</row>
    <row r="1348" spans="1:41" ht="13.5" customHeight="1">
      <c r="A1348" s="1"/>
      <c r="B1348" s="1"/>
      <c r="C1348" s="26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</row>
    <row r="1349" spans="1:41" ht="13.5" customHeight="1">
      <c r="A1349" s="1"/>
      <c r="B1349" s="1"/>
      <c r="C1349" s="26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</row>
    <row r="1350" spans="1:41" ht="13.5" customHeight="1">
      <c r="A1350" s="1"/>
      <c r="B1350" s="1"/>
      <c r="C1350" s="26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</row>
    <row r="1351" spans="1:41" ht="13.5" customHeight="1">
      <c r="A1351" s="1"/>
      <c r="B1351" s="1"/>
      <c r="C1351" s="26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</row>
    <row r="1352" spans="1:41" ht="13.5" customHeight="1">
      <c r="A1352" s="1"/>
      <c r="B1352" s="1"/>
      <c r="C1352" s="26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</row>
    <row r="1353" spans="1:41" ht="13.5" customHeight="1">
      <c r="A1353" s="1"/>
      <c r="B1353" s="1"/>
      <c r="C1353" s="26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</row>
    <row r="1354" spans="1:41" ht="13.5" customHeight="1">
      <c r="A1354" s="1"/>
      <c r="B1354" s="1"/>
      <c r="C1354" s="26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</row>
    <row r="1355" spans="1:41" ht="13.5" customHeight="1">
      <c r="A1355" s="1"/>
      <c r="B1355" s="1"/>
      <c r="C1355" s="26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</row>
    <row r="1356" spans="1:41" ht="13.5" customHeight="1">
      <c r="A1356" s="1"/>
      <c r="B1356" s="1"/>
      <c r="C1356" s="26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</row>
    <row r="1357" spans="1:41" ht="13.5" customHeight="1">
      <c r="A1357" s="1"/>
      <c r="B1357" s="1"/>
      <c r="C1357" s="26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</row>
    <row r="1358" spans="1:41" ht="13.5" customHeight="1">
      <c r="A1358" s="1"/>
      <c r="B1358" s="1"/>
      <c r="C1358" s="26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</row>
    <row r="1359" spans="1:41" ht="13.5" customHeight="1">
      <c r="A1359" s="1"/>
      <c r="B1359" s="1"/>
      <c r="C1359" s="26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</row>
    <row r="1360" spans="1:41" ht="13.5" customHeight="1">
      <c r="A1360" s="1"/>
      <c r="B1360" s="1"/>
      <c r="C1360" s="26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</row>
    <row r="1361" spans="1:41" ht="13.5" customHeight="1">
      <c r="A1361" s="1"/>
      <c r="B1361" s="1"/>
      <c r="C1361" s="26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</row>
    <row r="1362" spans="1:41" ht="13.5" customHeight="1">
      <c r="A1362" s="1"/>
      <c r="B1362" s="1"/>
      <c r="C1362" s="26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</row>
    <row r="1363" spans="1:41" ht="13.5" customHeight="1">
      <c r="A1363" s="1"/>
      <c r="B1363" s="1"/>
      <c r="C1363" s="26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</row>
    <row r="1364" spans="1:41" ht="13.5" customHeight="1">
      <c r="A1364" s="1"/>
      <c r="B1364" s="1"/>
      <c r="C1364" s="26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</row>
    <row r="1365" spans="1:41" ht="13.5" customHeight="1">
      <c r="A1365" s="1"/>
      <c r="B1365" s="1"/>
      <c r="C1365" s="26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</row>
    <row r="1366" spans="1:41" ht="13.5" customHeight="1">
      <c r="A1366" s="1"/>
      <c r="B1366" s="1"/>
      <c r="C1366" s="26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</row>
    <row r="1367" spans="1:41" ht="13.5" customHeight="1">
      <c r="A1367" s="1"/>
      <c r="B1367" s="1"/>
      <c r="C1367" s="26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</row>
    <row r="1368" spans="1:41" ht="13.5" customHeight="1">
      <c r="A1368" s="1"/>
      <c r="B1368" s="1"/>
      <c r="C1368" s="26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</row>
    <row r="1369" spans="1:41" ht="13.5" customHeight="1">
      <c r="A1369" s="1"/>
      <c r="B1369" s="1"/>
      <c r="C1369" s="26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</row>
    <row r="1370" spans="1:41" ht="13.5" customHeight="1">
      <c r="A1370" s="1"/>
      <c r="B1370" s="1"/>
      <c r="C1370" s="26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</row>
    <row r="1371" spans="1:41" ht="13.5" customHeight="1">
      <c r="A1371" s="1"/>
      <c r="B1371" s="1"/>
      <c r="C1371" s="26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</row>
    <row r="1372" spans="1:41" ht="13.5" customHeight="1">
      <c r="A1372" s="1"/>
      <c r="B1372" s="1"/>
      <c r="C1372" s="26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</row>
    <row r="1373" spans="1:41" ht="13.5" customHeight="1">
      <c r="A1373" s="1"/>
      <c r="B1373" s="1"/>
      <c r="C1373" s="26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</row>
    <row r="1374" spans="1:41" ht="13.5" customHeight="1">
      <c r="A1374" s="1"/>
      <c r="B1374" s="1"/>
      <c r="C1374" s="26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</row>
    <row r="1375" spans="1:41" ht="13.5" customHeight="1">
      <c r="A1375" s="1"/>
      <c r="B1375" s="1"/>
      <c r="C1375" s="26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</row>
    <row r="1376" spans="1:41" ht="13.5" customHeight="1">
      <c r="A1376" s="1"/>
      <c r="B1376" s="1"/>
      <c r="C1376" s="26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</row>
    <row r="1377" spans="1:41" ht="13.5" customHeight="1">
      <c r="A1377" s="1"/>
      <c r="B1377" s="1"/>
      <c r="C1377" s="26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</row>
    <row r="1378" spans="1:41" ht="13.5" customHeight="1">
      <c r="A1378" s="1"/>
      <c r="B1378" s="1"/>
      <c r="C1378" s="26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</row>
    <row r="1379" spans="1:41" ht="13.5" customHeight="1">
      <c r="A1379" s="1"/>
      <c r="B1379" s="1"/>
      <c r="C1379" s="26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</row>
    <row r="1380" spans="1:41" ht="13.5" customHeight="1">
      <c r="A1380" s="1"/>
      <c r="B1380" s="1"/>
      <c r="C1380" s="26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</row>
    <row r="1381" spans="1:41" ht="13.5" customHeight="1">
      <c r="A1381" s="1"/>
      <c r="B1381" s="1"/>
      <c r="C1381" s="26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</row>
    <row r="1382" spans="1:41" ht="13.5" customHeight="1">
      <c r="A1382" s="1"/>
      <c r="B1382" s="1"/>
      <c r="C1382" s="26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</row>
    <row r="1383" spans="1:41" ht="13.5" customHeight="1">
      <c r="A1383" s="1"/>
      <c r="B1383" s="1"/>
      <c r="C1383" s="26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</row>
    <row r="1384" spans="1:41" ht="13.5" customHeight="1">
      <c r="A1384" s="1"/>
      <c r="B1384" s="1"/>
      <c r="C1384" s="26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</row>
    <row r="1385" spans="1:41" ht="13.5" customHeight="1">
      <c r="A1385" s="1"/>
      <c r="B1385" s="1"/>
      <c r="C1385" s="26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</row>
    <row r="1386" spans="1:41" ht="13.5" customHeight="1">
      <c r="A1386" s="1"/>
      <c r="B1386" s="1"/>
      <c r="C1386" s="26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</row>
    <row r="1387" spans="1:41" ht="13.5" customHeight="1">
      <c r="A1387" s="1"/>
      <c r="B1387" s="1"/>
      <c r="C1387" s="26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</row>
    <row r="1388" spans="1:41" ht="13.5" customHeight="1">
      <c r="A1388" s="1"/>
      <c r="B1388" s="1"/>
      <c r="C1388" s="26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</row>
    <row r="1389" spans="1:41" ht="13.5" customHeight="1">
      <c r="A1389" s="1"/>
      <c r="B1389" s="1"/>
      <c r="C1389" s="26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</row>
    <row r="1390" spans="1:41" ht="13.5" customHeight="1">
      <c r="A1390" s="1"/>
      <c r="B1390" s="1"/>
      <c r="C1390" s="26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</row>
    <row r="1391" spans="1:41" ht="13.5" customHeight="1">
      <c r="A1391" s="1"/>
      <c r="B1391" s="1"/>
      <c r="C1391" s="26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</row>
    <row r="1392" spans="1:41" ht="13.5" customHeight="1">
      <c r="A1392" s="1"/>
      <c r="B1392" s="1"/>
      <c r="C1392" s="26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</row>
    <row r="1393" spans="1:41" ht="13.5" customHeight="1">
      <c r="A1393" s="1"/>
      <c r="B1393" s="1"/>
      <c r="C1393" s="26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</row>
    <row r="1394" spans="1:41" ht="13.5" customHeight="1">
      <c r="A1394" s="1"/>
      <c r="B1394" s="1"/>
      <c r="C1394" s="26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</row>
    <row r="1395" spans="1:41" ht="13.5" customHeight="1">
      <c r="A1395" s="1"/>
      <c r="B1395" s="1"/>
      <c r="C1395" s="26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</row>
    <row r="1396" spans="1:41" ht="13.5" customHeight="1">
      <c r="A1396" s="1"/>
      <c r="B1396" s="1"/>
      <c r="C1396" s="26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</row>
    <row r="1397" spans="1:41" ht="13.5" customHeight="1">
      <c r="A1397" s="1"/>
      <c r="B1397" s="1"/>
      <c r="C1397" s="26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</row>
    <row r="1398" spans="1:41" ht="13.5" customHeight="1">
      <c r="A1398" s="1"/>
      <c r="B1398" s="1"/>
      <c r="C1398" s="26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</row>
    <row r="1399" spans="1:41" ht="13.5" customHeight="1">
      <c r="A1399" s="1"/>
      <c r="B1399" s="1"/>
      <c r="C1399" s="26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</row>
    <row r="1400" spans="1:41" ht="13.5" customHeight="1">
      <c r="A1400" s="1"/>
      <c r="B1400" s="1"/>
      <c r="C1400" s="26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</row>
    <row r="1401" spans="1:41" ht="13.5" customHeight="1">
      <c r="A1401" s="1"/>
      <c r="B1401" s="1"/>
      <c r="C1401" s="26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</row>
    <row r="1402" spans="1:41" ht="13.5" customHeight="1">
      <c r="A1402" s="1"/>
      <c r="B1402" s="1"/>
      <c r="C1402" s="26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</row>
    <row r="1403" spans="1:41" ht="13.5" customHeight="1">
      <c r="A1403" s="1"/>
      <c r="B1403" s="1"/>
      <c r="C1403" s="26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</row>
    <row r="1404" spans="1:41" ht="13.5" customHeight="1">
      <c r="A1404" s="1"/>
      <c r="B1404" s="1"/>
      <c r="C1404" s="26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</row>
    <row r="1405" spans="1:41" ht="13.5" customHeight="1">
      <c r="A1405" s="1"/>
      <c r="B1405" s="1"/>
      <c r="C1405" s="26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</row>
    <row r="1406" spans="1:41" ht="13.5" customHeight="1">
      <c r="A1406" s="1"/>
      <c r="B1406" s="1"/>
      <c r="C1406" s="26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</row>
    <row r="1407" spans="1:41" ht="13.5" customHeight="1">
      <c r="A1407" s="1"/>
      <c r="B1407" s="1"/>
      <c r="C1407" s="26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</row>
    <row r="1408" spans="1:41" ht="13.5" customHeight="1">
      <c r="A1408" s="1"/>
      <c r="B1408" s="1"/>
      <c r="C1408" s="26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</row>
    <row r="1409" spans="1:41" ht="13.5" customHeight="1">
      <c r="A1409" s="1"/>
      <c r="B1409" s="1"/>
      <c r="C1409" s="26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</row>
    <row r="1410" spans="1:41" ht="13.5" customHeight="1">
      <c r="A1410" s="1"/>
      <c r="B1410" s="1"/>
      <c r="C1410" s="26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</row>
    <row r="1411" spans="1:41" ht="13.5" customHeight="1">
      <c r="A1411" s="1"/>
      <c r="B1411" s="1"/>
      <c r="C1411" s="26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</row>
    <row r="1412" spans="1:41" ht="13.5" customHeight="1">
      <c r="A1412" s="1"/>
      <c r="B1412" s="1"/>
      <c r="C1412" s="26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</row>
    <row r="1413" spans="1:41" ht="13.5" customHeight="1">
      <c r="A1413" s="1"/>
      <c r="B1413" s="1"/>
      <c r="C1413" s="26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</row>
    <row r="1414" spans="1:41" ht="13.5" customHeight="1">
      <c r="A1414" s="1"/>
      <c r="B1414" s="1"/>
      <c r="C1414" s="26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</row>
    <row r="1415" spans="1:41" ht="13.5" customHeight="1">
      <c r="A1415" s="1"/>
      <c r="B1415" s="1"/>
      <c r="C1415" s="26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</row>
    <row r="1416" spans="1:41" ht="13.5" customHeight="1">
      <c r="A1416" s="1"/>
      <c r="B1416" s="1"/>
      <c r="C1416" s="26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</row>
    <row r="1417" spans="1:41" ht="13.5" customHeight="1">
      <c r="A1417" s="1"/>
      <c r="B1417" s="1"/>
      <c r="C1417" s="26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</row>
    <row r="1418" spans="1:41" ht="13.5" customHeight="1">
      <c r="A1418" s="1"/>
      <c r="B1418" s="1"/>
      <c r="C1418" s="26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</row>
    <row r="1419" spans="1:41" ht="13.5" customHeight="1">
      <c r="A1419" s="1"/>
      <c r="B1419" s="1"/>
      <c r="C1419" s="26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</row>
    <row r="1420" spans="1:41" ht="13.5" customHeight="1">
      <c r="A1420" s="1"/>
      <c r="B1420" s="1"/>
      <c r="C1420" s="26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</row>
    <row r="1421" spans="1:41" ht="13.5" customHeight="1">
      <c r="A1421" s="1"/>
      <c r="B1421" s="1"/>
      <c r="C1421" s="26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</row>
    <row r="1422" spans="1:41" ht="13.5" customHeight="1">
      <c r="A1422" s="1"/>
      <c r="B1422" s="1"/>
      <c r="C1422" s="26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</row>
    <row r="1423" spans="1:41" ht="13.5" customHeight="1">
      <c r="A1423" s="1"/>
      <c r="B1423" s="1"/>
      <c r="C1423" s="26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</row>
    <row r="1424" spans="1:41" ht="13.5" customHeight="1">
      <c r="A1424" s="1"/>
      <c r="B1424" s="1"/>
      <c r="C1424" s="26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</row>
    <row r="1425" spans="1:41" ht="13.5" customHeight="1">
      <c r="A1425" s="1"/>
      <c r="B1425" s="1"/>
      <c r="C1425" s="26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</row>
    <row r="1426" spans="1:41" ht="13.5" customHeight="1">
      <c r="A1426" s="1"/>
      <c r="B1426" s="1"/>
      <c r="C1426" s="26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</row>
    <row r="1427" spans="1:41" ht="13.5" customHeight="1">
      <c r="A1427" s="1"/>
      <c r="B1427" s="1"/>
      <c r="C1427" s="26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</row>
    <row r="1428" spans="1:41" ht="13.5" customHeight="1">
      <c r="A1428" s="1"/>
      <c r="B1428" s="1"/>
      <c r="C1428" s="26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</row>
    <row r="1429" spans="1:41" ht="13.5" customHeight="1">
      <c r="A1429" s="1"/>
      <c r="B1429" s="1"/>
      <c r="C1429" s="26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</row>
    <row r="1430" spans="1:41" ht="13.5" customHeight="1">
      <c r="A1430" s="1"/>
      <c r="B1430" s="1"/>
      <c r="C1430" s="26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</row>
    <row r="1431" spans="1:41" ht="13.5" customHeight="1">
      <c r="A1431" s="1"/>
      <c r="B1431" s="1"/>
      <c r="C1431" s="26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</row>
    <row r="1432" spans="1:41" ht="13.5" customHeight="1">
      <c r="A1432" s="1"/>
      <c r="B1432" s="1"/>
      <c r="C1432" s="26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</row>
    <row r="1433" spans="1:41" ht="13.5" customHeight="1">
      <c r="A1433" s="1"/>
      <c r="B1433" s="1"/>
      <c r="C1433" s="26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</row>
    <row r="1434" spans="1:41" ht="13.5" customHeight="1">
      <c r="A1434" s="1"/>
      <c r="B1434" s="1"/>
      <c r="C1434" s="26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</row>
    <row r="1435" spans="1:41" ht="13.5" customHeight="1">
      <c r="A1435" s="1"/>
      <c r="B1435" s="1"/>
      <c r="C1435" s="26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</row>
    <row r="1436" spans="1:41" ht="13.5" customHeight="1">
      <c r="A1436" s="1"/>
      <c r="B1436" s="1"/>
      <c r="C1436" s="26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</row>
    <row r="1437" spans="1:41" ht="13.5" customHeight="1">
      <c r="A1437" s="1"/>
      <c r="B1437" s="1"/>
      <c r="C1437" s="26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</row>
    <row r="1438" spans="1:41" ht="13.5" customHeight="1">
      <c r="A1438" s="1"/>
      <c r="B1438" s="1"/>
      <c r="C1438" s="26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</row>
    <row r="1439" spans="1:41" ht="13.5" customHeight="1">
      <c r="A1439" s="1"/>
      <c r="B1439" s="1"/>
      <c r="C1439" s="26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</row>
    <row r="1440" spans="1:41" ht="13.5" customHeight="1">
      <c r="A1440" s="1"/>
      <c r="B1440" s="1"/>
      <c r="C1440" s="26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</row>
    <row r="1441" spans="1:41" ht="13.5" customHeight="1">
      <c r="A1441" s="1"/>
      <c r="B1441" s="1"/>
      <c r="C1441" s="26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</row>
    <row r="1442" spans="1:41" ht="13.5" customHeight="1">
      <c r="A1442" s="1"/>
      <c r="B1442" s="1"/>
      <c r="C1442" s="26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</row>
    <row r="1443" spans="1:41" ht="13.5" customHeight="1">
      <c r="A1443" s="1"/>
      <c r="B1443" s="1"/>
      <c r="C1443" s="26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</row>
    <row r="1444" spans="1:41" ht="13.5" customHeight="1">
      <c r="A1444" s="1"/>
      <c r="B1444" s="1"/>
      <c r="C1444" s="26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</row>
    <row r="1445" spans="1:41" ht="13.5" customHeight="1">
      <c r="A1445" s="1"/>
      <c r="B1445" s="1"/>
      <c r="C1445" s="26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</row>
    <row r="1446" spans="1:41" ht="13.5" customHeight="1">
      <c r="A1446" s="1"/>
      <c r="B1446" s="1"/>
      <c r="C1446" s="26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</row>
    <row r="1447" spans="1:41" ht="13.5" customHeight="1">
      <c r="A1447" s="1"/>
      <c r="B1447" s="1"/>
      <c r="C1447" s="26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</row>
    <row r="1448" spans="1:41" ht="13.5" customHeight="1">
      <c r="A1448" s="1"/>
      <c r="B1448" s="1"/>
      <c r="C1448" s="26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</row>
    <row r="1449" spans="1:41" ht="13.5" customHeight="1">
      <c r="A1449" s="1"/>
      <c r="B1449" s="1"/>
      <c r="C1449" s="26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</row>
    <row r="1450" spans="1:41" ht="13.5" customHeight="1">
      <c r="A1450" s="1"/>
      <c r="B1450" s="1"/>
      <c r="C1450" s="26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</row>
    <row r="1451" spans="1:41" ht="13.5" customHeight="1">
      <c r="A1451" s="1"/>
      <c r="B1451" s="1"/>
      <c r="C1451" s="26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</row>
    <row r="1452" spans="1:41" ht="13.5" customHeight="1">
      <c r="A1452" s="1"/>
      <c r="B1452" s="1"/>
      <c r="C1452" s="26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</row>
    <row r="1453" spans="1:41" ht="13.5" customHeight="1">
      <c r="A1453" s="1"/>
      <c r="B1453" s="1"/>
      <c r="C1453" s="26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</row>
    <row r="1454" spans="1:41" ht="13.5" customHeight="1">
      <c r="A1454" s="1"/>
      <c r="B1454" s="1"/>
      <c r="C1454" s="26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</row>
    <row r="1455" spans="1:41" ht="13.5" customHeight="1">
      <c r="A1455" s="1"/>
      <c r="B1455" s="1"/>
      <c r="C1455" s="26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</row>
    <row r="1456" spans="1:41" ht="13.5" customHeight="1">
      <c r="A1456" s="1"/>
      <c r="B1456" s="1"/>
      <c r="C1456" s="26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</row>
    <row r="1457" spans="1:41" ht="13.5" customHeight="1">
      <c r="A1457" s="1"/>
      <c r="B1457" s="1"/>
      <c r="C1457" s="26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</row>
    <row r="1458" spans="1:41" ht="13.5" customHeight="1">
      <c r="A1458" s="1"/>
      <c r="B1458" s="1"/>
      <c r="C1458" s="26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</row>
    <row r="1459" spans="1:41" ht="13.5" customHeight="1">
      <c r="A1459" s="1"/>
      <c r="B1459" s="1"/>
      <c r="C1459" s="26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</row>
    <row r="1460" spans="1:41" ht="13.5" customHeight="1">
      <c r="A1460" s="1"/>
      <c r="B1460" s="1"/>
      <c r="C1460" s="26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</row>
    <row r="1461" spans="1:41" ht="13.5" customHeight="1">
      <c r="A1461" s="1"/>
      <c r="B1461" s="1"/>
      <c r="C1461" s="26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</row>
    <row r="1462" spans="1:41" ht="13.5" customHeight="1">
      <c r="A1462" s="1"/>
      <c r="B1462" s="1"/>
      <c r="C1462" s="26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</row>
    <row r="1463" spans="1:41" ht="13.5" customHeight="1">
      <c r="A1463" s="1"/>
      <c r="B1463" s="1"/>
      <c r="C1463" s="26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</row>
    <row r="1464" spans="1:41" ht="13.5" customHeight="1">
      <c r="A1464" s="1"/>
      <c r="B1464" s="1"/>
      <c r="C1464" s="26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</row>
    <row r="1465" spans="1:41" ht="13.5" customHeight="1">
      <c r="A1465" s="1"/>
      <c r="B1465" s="1"/>
      <c r="C1465" s="26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</row>
    <row r="1466" spans="1:41" ht="13.5" customHeight="1">
      <c r="A1466" s="1"/>
      <c r="B1466" s="1"/>
      <c r="C1466" s="26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</row>
    <row r="1467" spans="1:41" ht="13.5" customHeight="1">
      <c r="A1467" s="1"/>
      <c r="B1467" s="1"/>
      <c r="C1467" s="26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</row>
    <row r="1468" spans="1:41" ht="13.5" customHeight="1">
      <c r="A1468" s="1"/>
      <c r="B1468" s="1"/>
      <c r="C1468" s="26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</row>
    <row r="1469" spans="1:41" ht="13.5" customHeight="1">
      <c r="A1469" s="1"/>
      <c r="B1469" s="1"/>
      <c r="C1469" s="26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</row>
    <row r="1470" spans="1:41" ht="13.5" customHeight="1">
      <c r="A1470" s="1"/>
      <c r="B1470" s="1"/>
      <c r="C1470" s="26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</row>
    <row r="1471" spans="1:41" ht="13.5" customHeight="1">
      <c r="A1471" s="1"/>
      <c r="B1471" s="1"/>
      <c r="C1471" s="26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</row>
    <row r="1472" spans="1:41" ht="13.5" customHeight="1">
      <c r="A1472" s="1"/>
      <c r="B1472" s="1"/>
      <c r="C1472" s="26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</row>
    <row r="1473" spans="1:41" ht="13.5" customHeight="1">
      <c r="A1473" s="1"/>
      <c r="B1473" s="1"/>
      <c r="C1473" s="26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</row>
    <row r="1474" spans="1:41" ht="13.5" customHeight="1">
      <c r="A1474" s="1"/>
      <c r="B1474" s="1"/>
      <c r="C1474" s="26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</row>
    <row r="1475" spans="1:41" ht="13.5" customHeight="1">
      <c r="A1475" s="1"/>
      <c r="B1475" s="1"/>
      <c r="C1475" s="26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</row>
    <row r="1476" spans="1:41" ht="13.5" customHeight="1">
      <c r="A1476" s="1"/>
      <c r="B1476" s="1"/>
      <c r="C1476" s="26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</row>
    <row r="1477" spans="1:41" ht="13.5" customHeight="1">
      <c r="A1477" s="1"/>
      <c r="B1477" s="1"/>
      <c r="C1477" s="26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</row>
    <row r="1478" spans="1:41" ht="13.5" customHeight="1">
      <c r="A1478" s="1"/>
      <c r="B1478" s="1"/>
      <c r="C1478" s="26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</row>
    <row r="1479" spans="1:41" ht="13.5" customHeight="1">
      <c r="A1479" s="1"/>
      <c r="B1479" s="1"/>
      <c r="C1479" s="26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</row>
    <row r="1480" spans="1:41" ht="13.5" customHeight="1">
      <c r="A1480" s="1"/>
      <c r="B1480" s="1"/>
      <c r="C1480" s="26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</row>
    <row r="1481" spans="1:41" ht="13.5" customHeight="1">
      <c r="A1481" s="1"/>
      <c r="B1481" s="1"/>
      <c r="C1481" s="26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</row>
    <row r="1482" spans="1:41" ht="13.5" customHeight="1">
      <c r="A1482" s="1"/>
      <c r="B1482" s="1"/>
      <c r="C1482" s="26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</row>
    <row r="1483" spans="1:41" ht="13.5" customHeight="1">
      <c r="A1483" s="1"/>
      <c r="B1483" s="1"/>
      <c r="C1483" s="26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</row>
    <row r="1484" spans="1:41" ht="13.5" customHeight="1">
      <c r="A1484" s="1"/>
      <c r="B1484" s="1"/>
      <c r="C1484" s="26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</row>
    <row r="1485" spans="1:41" ht="13.5" customHeight="1">
      <c r="A1485" s="1"/>
      <c r="B1485" s="1"/>
      <c r="C1485" s="26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</row>
    <row r="1486" spans="1:41" ht="13.5" customHeight="1">
      <c r="A1486" s="1"/>
      <c r="B1486" s="1"/>
      <c r="C1486" s="26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</row>
    <row r="1487" spans="1:41" ht="13.5" customHeight="1">
      <c r="A1487" s="1"/>
      <c r="B1487" s="1"/>
      <c r="C1487" s="26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</row>
    <row r="1488" spans="1:41" ht="13.5" customHeight="1">
      <c r="A1488" s="1"/>
      <c r="B1488" s="1"/>
      <c r="C1488" s="26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</row>
    <row r="1489" spans="1:41" ht="13.5" customHeight="1">
      <c r="A1489" s="1"/>
      <c r="B1489" s="1"/>
      <c r="C1489" s="26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</row>
    <row r="1490" spans="1:41" ht="13.5" customHeight="1">
      <c r="A1490" s="1"/>
      <c r="B1490" s="1"/>
      <c r="C1490" s="26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</row>
    <row r="1491" spans="1:41" ht="13.5" customHeight="1">
      <c r="A1491" s="1"/>
      <c r="B1491" s="1"/>
      <c r="C1491" s="26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</row>
    <row r="1492" spans="1:41" ht="13.5" customHeight="1">
      <c r="A1492" s="1"/>
      <c r="B1492" s="1"/>
      <c r="C1492" s="26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</row>
    <row r="1493" spans="1:41" ht="13.5" customHeight="1">
      <c r="A1493" s="1"/>
      <c r="B1493" s="1"/>
      <c r="C1493" s="26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</row>
    <row r="1494" spans="1:41" ht="13.5" customHeight="1">
      <c r="A1494" s="1"/>
      <c r="B1494" s="1"/>
      <c r="C1494" s="26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</row>
    <row r="1495" spans="1:41" ht="13.5" customHeight="1">
      <c r="A1495" s="1"/>
      <c r="B1495" s="1"/>
      <c r="C1495" s="26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</row>
    <row r="1496" spans="1:41" ht="13.5" customHeight="1">
      <c r="A1496" s="1"/>
      <c r="B1496" s="1"/>
      <c r="C1496" s="26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</row>
    <row r="1497" spans="1:41" ht="13.5" customHeight="1">
      <c r="A1497" s="1"/>
      <c r="B1497" s="1"/>
      <c r="C1497" s="26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</row>
    <row r="1498" spans="1:41" ht="13.5" customHeight="1">
      <c r="A1498" s="1"/>
      <c r="B1498" s="1"/>
      <c r="C1498" s="26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</row>
    <row r="1499" spans="1:41" ht="13.5" customHeight="1">
      <c r="A1499" s="1"/>
      <c r="B1499" s="1"/>
      <c r="C1499" s="26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</row>
    <row r="1500" spans="1:41" ht="13.5" customHeight="1">
      <c r="A1500" s="1"/>
      <c r="B1500" s="1"/>
      <c r="C1500" s="26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</row>
    <row r="1501" spans="1:41" ht="13.5" customHeight="1">
      <c r="A1501" s="1"/>
      <c r="B1501" s="1"/>
      <c r="C1501" s="26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</row>
    <row r="1502" spans="1:41" ht="13.5" customHeight="1">
      <c r="A1502" s="1"/>
      <c r="B1502" s="1"/>
      <c r="C1502" s="26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</row>
    <row r="1503" spans="1:41" ht="13.5" customHeight="1">
      <c r="A1503" s="1"/>
      <c r="B1503" s="1"/>
      <c r="C1503" s="26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</row>
    <row r="1504" spans="1:41" ht="13.5" customHeight="1">
      <c r="A1504" s="1"/>
      <c r="B1504" s="1"/>
      <c r="C1504" s="26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</row>
    <row r="1505" spans="1:41" ht="13.5" customHeight="1">
      <c r="A1505" s="1"/>
      <c r="B1505" s="1"/>
      <c r="C1505" s="26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</row>
    <row r="1506" spans="1:41" ht="13.5" customHeight="1">
      <c r="A1506" s="1"/>
      <c r="B1506" s="1"/>
      <c r="C1506" s="26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</row>
    <row r="1507" spans="1:41" ht="13.5" customHeight="1">
      <c r="A1507" s="1"/>
      <c r="B1507" s="1"/>
      <c r="C1507" s="26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</row>
    <row r="1508" spans="1:41" ht="13.5" customHeight="1">
      <c r="A1508" s="1"/>
      <c r="B1508" s="1"/>
      <c r="C1508" s="26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</row>
    <row r="1509" spans="1:41" ht="13.5" customHeight="1">
      <c r="A1509" s="1"/>
      <c r="B1509" s="1"/>
      <c r="C1509" s="26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</row>
    <row r="1510" spans="1:41" ht="13.5" customHeight="1">
      <c r="A1510" s="1"/>
      <c r="B1510" s="1"/>
      <c r="C1510" s="26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</row>
    <row r="1511" spans="1:41" ht="13.5" customHeight="1">
      <c r="A1511" s="1"/>
      <c r="B1511" s="1"/>
      <c r="C1511" s="26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</row>
    <row r="1512" spans="1:41" ht="13.5" customHeight="1">
      <c r="A1512" s="1"/>
      <c r="B1512" s="1"/>
      <c r="C1512" s="26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</row>
    <row r="1513" spans="1:41" ht="13.5" customHeight="1">
      <c r="A1513" s="1"/>
      <c r="B1513" s="1"/>
      <c r="C1513" s="26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</row>
    <row r="1514" spans="1:41" ht="13.5" customHeight="1">
      <c r="A1514" s="1"/>
      <c r="B1514" s="1"/>
      <c r="C1514" s="26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</row>
    <row r="1515" spans="1:41" ht="13.5" customHeight="1">
      <c r="A1515" s="1"/>
      <c r="B1515" s="1"/>
      <c r="C1515" s="26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</row>
    <row r="1516" spans="1:41" ht="13.5" customHeight="1">
      <c r="A1516" s="1"/>
      <c r="B1516" s="1"/>
      <c r="C1516" s="26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</row>
    <row r="1517" spans="1:41" ht="13.5" customHeight="1">
      <c r="A1517" s="1"/>
      <c r="B1517" s="1"/>
      <c r="C1517" s="26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</row>
    <row r="1518" spans="1:41" ht="13.5" customHeight="1">
      <c r="A1518" s="1"/>
      <c r="B1518" s="1"/>
      <c r="C1518" s="26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</row>
    <row r="1519" spans="1:41" ht="13.5" customHeight="1">
      <c r="A1519" s="1"/>
      <c r="B1519" s="1"/>
      <c r="C1519" s="26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</row>
    <row r="1520" spans="1:41" ht="13.5" customHeight="1">
      <c r="A1520" s="1"/>
      <c r="B1520" s="1"/>
      <c r="C1520" s="26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</row>
    <row r="1521" spans="1:41" ht="13.5" customHeight="1">
      <c r="A1521" s="1"/>
      <c r="B1521" s="1"/>
      <c r="C1521" s="26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</row>
    <row r="1522" spans="1:41" ht="13.5" customHeight="1">
      <c r="A1522" s="1"/>
      <c r="B1522" s="1"/>
      <c r="C1522" s="26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</row>
    <row r="1523" spans="1:41" ht="13.5" customHeight="1">
      <c r="A1523" s="1"/>
      <c r="B1523" s="1"/>
      <c r="C1523" s="26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</row>
    <row r="1524" spans="1:41" ht="13.5" customHeight="1">
      <c r="A1524" s="1"/>
      <c r="B1524" s="1"/>
      <c r="C1524" s="26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</row>
    <row r="1525" spans="1:41" ht="13.5" customHeight="1">
      <c r="A1525" s="1"/>
      <c r="B1525" s="1"/>
      <c r="C1525" s="26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</row>
    <row r="1526" spans="1:41" ht="13.5" customHeight="1">
      <c r="A1526" s="1"/>
      <c r="B1526" s="1"/>
      <c r="C1526" s="26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</row>
    <row r="1527" spans="1:41" ht="13.5" customHeight="1">
      <c r="A1527" s="1"/>
      <c r="B1527" s="1"/>
      <c r="C1527" s="26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</row>
    <row r="1528" spans="1:41" ht="13.5" customHeight="1">
      <c r="A1528" s="1"/>
      <c r="B1528" s="1"/>
      <c r="C1528" s="26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</row>
    <row r="1529" spans="1:41" ht="13.5" customHeight="1">
      <c r="A1529" s="1"/>
      <c r="B1529" s="1"/>
      <c r="C1529" s="26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</row>
    <row r="1530" spans="1:41" ht="13.5" customHeight="1">
      <c r="A1530" s="1"/>
      <c r="B1530" s="1"/>
      <c r="C1530" s="26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</row>
    <row r="1531" spans="1:41" ht="13.5" customHeight="1">
      <c r="A1531" s="1"/>
      <c r="B1531" s="1"/>
      <c r="C1531" s="26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</row>
    <row r="1532" spans="1:41" ht="13.5" customHeight="1">
      <c r="A1532" s="1"/>
      <c r="B1532" s="1"/>
      <c r="C1532" s="26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</row>
    <row r="1533" spans="1:41" ht="13.5" customHeight="1">
      <c r="A1533" s="1"/>
      <c r="B1533" s="1"/>
      <c r="C1533" s="26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</row>
    <row r="1534" spans="1:41" ht="13.5" customHeight="1">
      <c r="A1534" s="1"/>
      <c r="B1534" s="1"/>
      <c r="C1534" s="26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</row>
    <row r="1535" spans="1:41" ht="13.5" customHeight="1">
      <c r="A1535" s="1"/>
      <c r="B1535" s="1"/>
      <c r="C1535" s="26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</row>
    <row r="1536" spans="1:41" ht="13.5" customHeight="1">
      <c r="A1536" s="1"/>
      <c r="B1536" s="1"/>
      <c r="C1536" s="26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</row>
    <row r="1537" spans="1:41" ht="13.5" customHeight="1">
      <c r="A1537" s="1"/>
      <c r="B1537" s="1"/>
      <c r="C1537" s="26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</row>
    <row r="1538" spans="1:41" ht="13.5" customHeight="1">
      <c r="A1538" s="1"/>
      <c r="B1538" s="1"/>
      <c r="C1538" s="26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</row>
    <row r="1539" spans="1:41" ht="13.5" customHeight="1">
      <c r="A1539" s="1"/>
      <c r="B1539" s="1"/>
      <c r="C1539" s="26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</row>
    <row r="1540" spans="1:41" ht="13.5" customHeight="1">
      <c r="A1540" s="1"/>
      <c r="B1540" s="1"/>
      <c r="C1540" s="26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</row>
    <row r="1541" spans="1:41" ht="13.5" customHeight="1">
      <c r="A1541" s="1"/>
      <c r="B1541" s="1"/>
      <c r="C1541" s="26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</row>
    <row r="1542" spans="1:41" ht="13.5" customHeight="1">
      <c r="A1542" s="1"/>
      <c r="B1542" s="1"/>
      <c r="C1542" s="26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</row>
    <row r="1543" spans="1:41" ht="13.5" customHeight="1">
      <c r="A1543" s="1"/>
      <c r="B1543" s="1"/>
      <c r="C1543" s="26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</row>
    <row r="1544" spans="1:41" ht="13.5" customHeight="1">
      <c r="A1544" s="1"/>
      <c r="B1544" s="1"/>
      <c r="C1544" s="26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</row>
    <row r="1545" spans="1:41" ht="13.5" customHeight="1">
      <c r="A1545" s="1"/>
      <c r="B1545" s="1"/>
      <c r="C1545" s="26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</row>
    <row r="1546" spans="1:41" ht="13.5" customHeight="1">
      <c r="A1546" s="1"/>
      <c r="B1546" s="1"/>
      <c r="C1546" s="26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</row>
    <row r="1547" spans="1:41" ht="13.5" customHeight="1">
      <c r="A1547" s="1"/>
      <c r="B1547" s="1"/>
      <c r="C1547" s="26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</row>
    <row r="1548" spans="1:41" ht="13.5" customHeight="1">
      <c r="A1548" s="1"/>
      <c r="B1548" s="1"/>
      <c r="C1548" s="26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</row>
    <row r="1549" spans="1:41" ht="13.5" customHeight="1">
      <c r="A1549" s="1"/>
      <c r="B1549" s="1"/>
      <c r="C1549" s="26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</row>
    <row r="1550" spans="1:41" ht="13.5" customHeight="1">
      <c r="A1550" s="1"/>
      <c r="B1550" s="1"/>
      <c r="C1550" s="26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</row>
    <row r="1551" spans="1:41" ht="13.5" customHeight="1">
      <c r="A1551" s="1"/>
      <c r="B1551" s="1"/>
      <c r="C1551" s="26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</row>
    <row r="1552" spans="1:41" ht="13.5" customHeight="1">
      <c r="A1552" s="1"/>
      <c r="B1552" s="1"/>
      <c r="C1552" s="26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</row>
    <row r="1553" spans="1:41" ht="13.5" customHeight="1">
      <c r="A1553" s="1"/>
      <c r="B1553" s="1"/>
      <c r="C1553" s="26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</row>
    <row r="1554" spans="1:41" ht="13.5" customHeight="1">
      <c r="A1554" s="1"/>
      <c r="B1554" s="1"/>
      <c r="C1554" s="26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</row>
    <row r="1555" spans="1:41" ht="13.5" customHeight="1">
      <c r="A1555" s="1"/>
      <c r="B1555" s="1"/>
      <c r="C1555" s="26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</row>
    <row r="1556" spans="1:41" ht="13.5" customHeight="1">
      <c r="A1556" s="1"/>
      <c r="B1556" s="1"/>
      <c r="C1556" s="26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</row>
    <row r="1557" spans="1:41" ht="13.5" customHeight="1">
      <c r="A1557" s="1"/>
      <c r="B1557" s="1"/>
      <c r="C1557" s="26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</row>
    <row r="1558" spans="1:41" ht="13.5" customHeight="1">
      <c r="A1558" s="1"/>
      <c r="B1558" s="1"/>
      <c r="C1558" s="26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</row>
    <row r="1559" spans="1:41" ht="13.5" customHeight="1">
      <c r="A1559" s="1"/>
      <c r="B1559" s="1"/>
      <c r="C1559" s="26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</row>
    <row r="1560" spans="1:41" ht="13.5" customHeight="1">
      <c r="A1560" s="1"/>
      <c r="B1560" s="1"/>
      <c r="C1560" s="26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</row>
    <row r="1561" spans="1:41" ht="13.5" customHeight="1">
      <c r="A1561" s="1"/>
      <c r="B1561" s="1"/>
      <c r="C1561" s="26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</row>
    <row r="1562" spans="1:41" ht="13.5" customHeight="1">
      <c r="A1562" s="1"/>
      <c r="B1562" s="1"/>
      <c r="C1562" s="26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</row>
    <row r="1563" spans="1:41" ht="13.5" customHeight="1">
      <c r="A1563" s="1"/>
      <c r="B1563" s="1"/>
      <c r="C1563" s="26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</row>
    <row r="1564" spans="1:41" ht="13.5" customHeight="1">
      <c r="A1564" s="1"/>
      <c r="B1564" s="1"/>
      <c r="C1564" s="26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</row>
    <row r="1565" spans="1:41" ht="13.5" customHeight="1">
      <c r="A1565" s="1"/>
      <c r="B1565" s="1"/>
      <c r="C1565" s="26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</row>
    <row r="1566" spans="1:41" ht="13.5" customHeight="1">
      <c r="A1566" s="1"/>
      <c r="B1566" s="1"/>
      <c r="C1566" s="26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</row>
    <row r="1567" spans="1:41" ht="13.5" customHeight="1">
      <c r="A1567" s="1"/>
      <c r="B1567" s="1"/>
      <c r="C1567" s="26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</row>
    <row r="1568" spans="1:41" ht="13.5" customHeight="1">
      <c r="A1568" s="1"/>
      <c r="B1568" s="1"/>
      <c r="C1568" s="26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</row>
    <row r="1569" spans="1:41" ht="13.5" customHeight="1">
      <c r="A1569" s="1"/>
      <c r="B1569" s="1"/>
      <c r="C1569" s="26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</row>
    <row r="1570" spans="1:41" ht="13.5" customHeight="1">
      <c r="A1570" s="1"/>
      <c r="B1570" s="1"/>
      <c r="C1570" s="26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</row>
    <row r="1571" spans="1:41" ht="13.5" customHeight="1">
      <c r="A1571" s="1"/>
      <c r="B1571" s="1"/>
      <c r="C1571" s="26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</row>
    <row r="1572" spans="1:41" ht="13.5" customHeight="1">
      <c r="A1572" s="1"/>
      <c r="B1572" s="1"/>
      <c r="C1572" s="26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</row>
    <row r="1573" spans="1:41" ht="13.5" customHeight="1">
      <c r="A1573" s="1"/>
      <c r="B1573" s="1"/>
      <c r="C1573" s="26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</row>
    <row r="1574" spans="1:41" ht="13.5" customHeight="1">
      <c r="A1574" s="1"/>
      <c r="B1574" s="1"/>
      <c r="C1574" s="26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</row>
    <row r="1575" spans="1:41" ht="13.5" customHeight="1">
      <c r="A1575" s="1"/>
      <c r="B1575" s="1"/>
      <c r="C1575" s="26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</row>
    <row r="1576" spans="1:41" ht="13.5" customHeight="1">
      <c r="A1576" s="1"/>
      <c r="B1576" s="1"/>
      <c r="C1576" s="26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</row>
    <row r="1577" spans="1:41" ht="13.5" customHeight="1">
      <c r="A1577" s="1"/>
      <c r="B1577" s="1"/>
      <c r="C1577" s="26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</row>
    <row r="1578" spans="1:41" ht="13.5" customHeight="1">
      <c r="A1578" s="1"/>
      <c r="B1578" s="1"/>
      <c r="C1578" s="26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</row>
    <row r="1579" spans="1:41" ht="13.5" customHeight="1">
      <c r="A1579" s="1"/>
      <c r="B1579" s="1"/>
      <c r="C1579" s="26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</row>
    <row r="1580" spans="1:41" ht="13.5" customHeight="1">
      <c r="A1580" s="1"/>
      <c r="B1580" s="1"/>
      <c r="C1580" s="26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</row>
    <row r="1581" spans="1:41" ht="13.5" customHeight="1">
      <c r="A1581" s="1"/>
      <c r="B1581" s="1"/>
      <c r="C1581" s="26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</row>
    <row r="1582" spans="1:41" ht="13.5" customHeight="1">
      <c r="A1582" s="1"/>
      <c r="B1582" s="1"/>
      <c r="C1582" s="26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</row>
    <row r="1583" spans="1:41" ht="13.5" customHeight="1">
      <c r="A1583" s="1"/>
      <c r="B1583" s="1"/>
      <c r="C1583" s="26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</row>
    <row r="1584" spans="1:41" ht="13.5" customHeight="1">
      <c r="A1584" s="1"/>
      <c r="B1584" s="1"/>
      <c r="C1584" s="26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</row>
    <row r="1585" spans="1:41" ht="13.5" customHeight="1">
      <c r="A1585" s="1"/>
      <c r="B1585" s="1"/>
      <c r="C1585" s="26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</row>
    <row r="1586" spans="1:41" ht="13.5" customHeight="1">
      <c r="A1586" s="1"/>
      <c r="B1586" s="1"/>
      <c r="C1586" s="26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</row>
    <row r="1587" spans="1:41" ht="13.5" customHeight="1">
      <c r="A1587" s="1"/>
      <c r="B1587" s="1"/>
      <c r="C1587" s="26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</row>
    <row r="1588" spans="1:41" ht="13.5" customHeight="1">
      <c r="A1588" s="1"/>
      <c r="B1588" s="1"/>
      <c r="C1588" s="26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</row>
    <row r="1589" spans="1:41" ht="13.5" customHeight="1">
      <c r="A1589" s="1"/>
      <c r="B1589" s="1"/>
      <c r="C1589" s="26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</row>
    <row r="1590" spans="1:41" ht="13.5" customHeight="1">
      <c r="A1590" s="1"/>
      <c r="B1590" s="1"/>
      <c r="C1590" s="26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</row>
    <row r="1591" spans="1:41" ht="13.5" customHeight="1">
      <c r="A1591" s="1"/>
      <c r="B1591" s="1"/>
      <c r="C1591" s="26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</row>
    <row r="1592" spans="1:41" ht="13.5" customHeight="1">
      <c r="A1592" s="1"/>
      <c r="B1592" s="1"/>
      <c r="C1592" s="26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</row>
    <row r="1593" spans="1:41" ht="13.5" customHeight="1">
      <c r="A1593" s="1"/>
      <c r="B1593" s="1"/>
      <c r="C1593" s="26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</row>
    <row r="1594" spans="1:41" ht="13.5" customHeight="1">
      <c r="A1594" s="1"/>
      <c r="B1594" s="1"/>
      <c r="C1594" s="26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</row>
    <row r="1595" spans="1:41" ht="13.5" customHeight="1">
      <c r="A1595" s="1"/>
      <c r="B1595" s="1"/>
      <c r="C1595" s="26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</row>
    <row r="1596" spans="1:41" ht="13.5" customHeight="1">
      <c r="A1596" s="1"/>
      <c r="B1596" s="1"/>
      <c r="C1596" s="26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</row>
    <row r="1597" spans="1:41" ht="13.5" customHeight="1">
      <c r="A1597" s="1"/>
      <c r="B1597" s="1"/>
      <c r="C1597" s="26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</row>
    <row r="1598" spans="1:41" ht="13.5" customHeight="1">
      <c r="A1598" s="1"/>
      <c r="B1598" s="1"/>
      <c r="C1598" s="26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</row>
    <row r="1599" spans="1:41" ht="13.5" customHeight="1">
      <c r="A1599" s="1"/>
      <c r="B1599" s="1"/>
      <c r="C1599" s="26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</row>
    <row r="1600" spans="1:41" ht="13.5" customHeight="1">
      <c r="A1600" s="1"/>
      <c r="B1600" s="1"/>
      <c r="C1600" s="26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</row>
    <row r="1601" spans="1:41" ht="13.5" customHeight="1">
      <c r="A1601" s="1"/>
      <c r="B1601" s="1"/>
      <c r="C1601" s="26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</row>
    <row r="1602" spans="1:41" ht="13.5" customHeight="1">
      <c r="A1602" s="1"/>
      <c r="B1602" s="1"/>
      <c r="C1602" s="26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</row>
    <row r="1603" spans="1:41" ht="13.5" customHeight="1">
      <c r="A1603" s="1"/>
      <c r="B1603" s="1"/>
      <c r="C1603" s="26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</row>
    <row r="1604" spans="1:41" ht="13.5" customHeight="1">
      <c r="A1604" s="1"/>
      <c r="B1604" s="1"/>
      <c r="C1604" s="26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</row>
    <row r="1605" spans="1:41" ht="13.5" customHeight="1">
      <c r="A1605" s="1"/>
      <c r="B1605" s="1"/>
      <c r="C1605" s="26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</row>
    <row r="1606" spans="1:41" ht="13.5" customHeight="1">
      <c r="A1606" s="1"/>
      <c r="B1606" s="1"/>
      <c r="C1606" s="26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</row>
    <row r="1607" spans="1:41" ht="13.5" customHeight="1">
      <c r="A1607" s="1"/>
      <c r="B1607" s="1"/>
      <c r="C1607" s="26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</row>
    <row r="1608" spans="1:41" ht="13.5" customHeight="1">
      <c r="A1608" s="1"/>
      <c r="B1608" s="1"/>
      <c r="C1608" s="26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</row>
    <row r="1609" spans="1:41" ht="13.5" customHeight="1">
      <c r="A1609" s="1"/>
      <c r="B1609" s="1"/>
      <c r="C1609" s="26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</row>
    <row r="1610" spans="1:41" ht="13.5" customHeight="1">
      <c r="A1610" s="1"/>
      <c r="B1610" s="1"/>
      <c r="C1610" s="26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</row>
    <row r="1611" spans="1:41" ht="13.5" customHeight="1">
      <c r="A1611" s="1"/>
      <c r="B1611" s="1"/>
      <c r="C1611" s="26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</row>
    <row r="1612" spans="1:41" ht="13.5" customHeight="1">
      <c r="A1612" s="1"/>
      <c r="B1612" s="1"/>
      <c r="C1612" s="26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</row>
    <row r="1613" spans="1:41" ht="13.5" customHeight="1">
      <c r="A1613" s="1"/>
      <c r="B1613" s="1"/>
      <c r="C1613" s="26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</row>
    <row r="1614" spans="1:41" ht="13.5" customHeight="1">
      <c r="A1614" s="1"/>
      <c r="B1614" s="1"/>
      <c r="C1614" s="26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</row>
    <row r="1615" spans="1:41" ht="13.5" customHeight="1">
      <c r="A1615" s="1"/>
      <c r="B1615" s="1"/>
      <c r="C1615" s="26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</row>
    <row r="1616" spans="1:41" ht="13.5" customHeight="1">
      <c r="A1616" s="1"/>
      <c r="B1616" s="1"/>
      <c r="C1616" s="26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</row>
    <row r="1617" spans="1:41" ht="13.5" customHeight="1">
      <c r="A1617" s="1"/>
      <c r="B1617" s="1"/>
      <c r="C1617" s="26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</row>
    <row r="1618" spans="1:41" ht="13.5" customHeight="1">
      <c r="A1618" s="1"/>
      <c r="B1618" s="1"/>
      <c r="C1618" s="26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</row>
    <row r="1619" spans="1:41" ht="13.5" customHeight="1">
      <c r="A1619" s="1"/>
      <c r="B1619" s="1"/>
      <c r="C1619" s="26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</row>
    <row r="1620" spans="1:41" ht="13.5" customHeight="1">
      <c r="A1620" s="1"/>
      <c r="B1620" s="1"/>
      <c r="C1620" s="26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</row>
    <row r="1621" spans="1:41" ht="13.5" customHeight="1">
      <c r="A1621" s="1"/>
      <c r="B1621" s="1"/>
      <c r="C1621" s="26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</row>
    <row r="1622" spans="1:41" ht="13.5" customHeight="1">
      <c r="A1622" s="1"/>
      <c r="B1622" s="1"/>
      <c r="C1622" s="26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</row>
    <row r="1623" spans="1:41" ht="13.5" customHeight="1">
      <c r="A1623" s="1"/>
      <c r="B1623" s="1"/>
      <c r="C1623" s="26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</row>
    <row r="1624" spans="1:41" ht="13.5" customHeight="1">
      <c r="A1624" s="1"/>
      <c r="B1624" s="1"/>
      <c r="C1624" s="26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</row>
    <row r="1625" spans="1:41" ht="13.5" customHeight="1">
      <c r="A1625" s="1"/>
      <c r="B1625" s="1"/>
      <c r="C1625" s="26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</row>
    <row r="1626" spans="1:41" ht="13.5" customHeight="1">
      <c r="A1626" s="1"/>
      <c r="B1626" s="1"/>
      <c r="C1626" s="26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</row>
    <row r="1627" spans="1:41" ht="13.5" customHeight="1">
      <c r="A1627" s="1"/>
      <c r="B1627" s="1"/>
      <c r="C1627" s="26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</row>
    <row r="1628" spans="1:41" ht="13.5" customHeight="1">
      <c r="A1628" s="1"/>
      <c r="B1628" s="1"/>
      <c r="C1628" s="26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</row>
    <row r="1629" spans="1:41" ht="13.5" customHeight="1">
      <c r="A1629" s="1"/>
      <c r="B1629" s="1"/>
      <c r="C1629" s="26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</row>
    <row r="1630" spans="1:41" ht="13.5" customHeight="1">
      <c r="A1630" s="1"/>
      <c r="B1630" s="1"/>
      <c r="C1630" s="26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</row>
    <row r="1631" spans="1:41" ht="13.5" customHeight="1">
      <c r="A1631" s="1"/>
      <c r="B1631" s="1"/>
      <c r="C1631" s="26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</row>
    <row r="1632" spans="1:41" ht="13.5" customHeight="1">
      <c r="A1632" s="1"/>
      <c r="B1632" s="1"/>
      <c r="C1632" s="26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</row>
    <row r="1633" spans="1:41" ht="13.5" customHeight="1">
      <c r="A1633" s="1"/>
      <c r="B1633" s="1"/>
      <c r="C1633" s="26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</row>
    <row r="1634" spans="1:41" ht="13.5" customHeight="1">
      <c r="A1634" s="1"/>
      <c r="B1634" s="1"/>
      <c r="C1634" s="26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</row>
    <row r="1635" spans="1:41" ht="13.5" customHeight="1">
      <c r="A1635" s="1"/>
      <c r="B1635" s="1"/>
      <c r="C1635" s="26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</row>
    <row r="1636" spans="1:41" ht="13.5" customHeight="1">
      <c r="A1636" s="1"/>
      <c r="B1636" s="1"/>
      <c r="C1636" s="26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</row>
    <row r="1637" spans="1:41" ht="13.5" customHeight="1">
      <c r="A1637" s="1"/>
      <c r="B1637" s="1"/>
      <c r="C1637" s="26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</row>
    <row r="1638" spans="1:41" ht="13.5" customHeight="1">
      <c r="A1638" s="1"/>
      <c r="B1638" s="1"/>
      <c r="C1638" s="26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</row>
    <row r="1639" spans="1:41" ht="13.5" customHeight="1">
      <c r="A1639" s="1"/>
      <c r="B1639" s="1"/>
      <c r="C1639" s="26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</row>
    <row r="1640" spans="1:41" ht="13.5" customHeight="1">
      <c r="A1640" s="1"/>
      <c r="B1640" s="1"/>
      <c r="C1640" s="26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</row>
    <row r="1641" spans="1:41" ht="13.5" customHeight="1">
      <c r="A1641" s="1"/>
      <c r="B1641" s="1"/>
      <c r="C1641" s="26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</row>
    <row r="1642" spans="1:41" ht="13.5" customHeight="1">
      <c r="A1642" s="1"/>
      <c r="B1642" s="1"/>
      <c r="C1642" s="26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</row>
    <row r="1643" spans="1:41" ht="13.5" customHeight="1">
      <c r="A1643" s="1"/>
      <c r="B1643" s="1"/>
      <c r="C1643" s="26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</row>
    <row r="1644" spans="1:41" ht="13.5" customHeight="1">
      <c r="A1644" s="1"/>
      <c r="B1644" s="1"/>
      <c r="C1644" s="26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</row>
    <row r="1645" spans="1:41" ht="13.5" customHeight="1">
      <c r="A1645" s="1"/>
      <c r="B1645" s="1"/>
      <c r="C1645" s="26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</row>
    <row r="1646" spans="1:41" ht="13.5" customHeight="1">
      <c r="A1646" s="1"/>
      <c r="B1646" s="1"/>
      <c r="C1646" s="26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</row>
    <row r="1647" spans="1:41" ht="13.5" customHeight="1">
      <c r="A1647" s="1"/>
      <c r="B1647" s="1"/>
      <c r="C1647" s="26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</row>
    <row r="1648" spans="1:41" ht="13.5" customHeight="1">
      <c r="A1648" s="1"/>
      <c r="B1648" s="1"/>
      <c r="C1648" s="26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</row>
    <row r="1649" spans="1:41" ht="13.5" customHeight="1">
      <c r="A1649" s="1"/>
      <c r="B1649" s="1"/>
      <c r="C1649" s="26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</row>
    <row r="1650" spans="1:41" ht="13.5" customHeight="1">
      <c r="A1650" s="1"/>
      <c r="B1650" s="1"/>
      <c r="C1650" s="26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</row>
    <row r="1651" spans="1:41" ht="13.5" customHeight="1">
      <c r="A1651" s="1"/>
      <c r="B1651" s="1"/>
      <c r="C1651" s="26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</row>
    <row r="1652" spans="1:41" ht="13.5" customHeight="1">
      <c r="A1652" s="1"/>
      <c r="B1652" s="1"/>
      <c r="C1652" s="26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</row>
    <row r="1653" spans="1:41" ht="13.5" customHeight="1">
      <c r="A1653" s="1"/>
      <c r="B1653" s="1"/>
      <c r="C1653" s="26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</row>
    <row r="1654" spans="1:41" ht="13.5" customHeight="1">
      <c r="A1654" s="1"/>
      <c r="B1654" s="1"/>
      <c r="C1654" s="26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</row>
    <row r="1655" spans="1:41" ht="13.5" customHeight="1">
      <c r="A1655" s="1"/>
      <c r="B1655" s="1"/>
      <c r="C1655" s="26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</row>
    <row r="1656" spans="1:41" ht="13.5" customHeight="1">
      <c r="A1656" s="1"/>
      <c r="B1656" s="1"/>
      <c r="C1656" s="26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</row>
    <row r="1657" spans="1:41" ht="13.5" customHeight="1">
      <c r="A1657" s="1"/>
      <c r="B1657" s="1"/>
      <c r="C1657" s="26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</row>
    <row r="1658" spans="1:41" ht="13.5" customHeight="1">
      <c r="A1658" s="1"/>
      <c r="B1658" s="1"/>
      <c r="C1658" s="26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</row>
    <row r="1659" spans="1:41" ht="13.5" customHeight="1">
      <c r="A1659" s="1"/>
      <c r="B1659" s="1"/>
      <c r="C1659" s="26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</row>
    <row r="1660" spans="1:41" ht="13.5" customHeight="1">
      <c r="A1660" s="1"/>
      <c r="B1660" s="1"/>
      <c r="C1660" s="26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</row>
    <row r="1661" spans="1:41" ht="13.5" customHeight="1">
      <c r="A1661" s="1"/>
      <c r="B1661" s="1"/>
      <c r="C1661" s="26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</row>
    <row r="1662" spans="1:41" ht="13.5" customHeight="1">
      <c r="A1662" s="1"/>
      <c r="B1662" s="1"/>
      <c r="C1662" s="26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</row>
    <row r="1663" spans="1:41" ht="13.5" customHeight="1">
      <c r="A1663" s="1"/>
      <c r="B1663" s="1"/>
      <c r="C1663" s="26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</row>
    <row r="1664" spans="1:41" ht="13.5" customHeight="1">
      <c r="A1664" s="1"/>
      <c r="B1664" s="1"/>
      <c r="C1664" s="26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</row>
    <row r="1665" spans="1:41" ht="13.5" customHeight="1">
      <c r="A1665" s="1"/>
      <c r="B1665" s="1"/>
      <c r="C1665" s="26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</row>
    <row r="1666" spans="1:41" ht="13.5" customHeight="1">
      <c r="A1666" s="1"/>
      <c r="B1666" s="1"/>
      <c r="C1666" s="26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</row>
    <row r="1667" spans="1:41" ht="13.5" customHeight="1">
      <c r="A1667" s="1"/>
      <c r="B1667" s="1"/>
      <c r="C1667" s="26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</row>
    <row r="1668" spans="1:41" ht="13.5" customHeight="1">
      <c r="A1668" s="1"/>
      <c r="B1668" s="1"/>
      <c r="C1668" s="26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</row>
    <row r="1669" spans="1:41" ht="13.5" customHeight="1">
      <c r="A1669" s="1"/>
      <c r="B1669" s="1"/>
      <c r="C1669" s="26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</row>
    <row r="1670" spans="1:41" ht="13.5" customHeight="1">
      <c r="A1670" s="1"/>
      <c r="B1670" s="1"/>
      <c r="C1670" s="26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</row>
    <row r="1671" spans="1:41" ht="13.5" customHeight="1">
      <c r="A1671" s="1"/>
      <c r="B1671" s="1"/>
      <c r="C1671" s="26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</row>
    <row r="1672" spans="1:41" ht="13.5" customHeight="1">
      <c r="A1672" s="1"/>
      <c r="B1672" s="1"/>
      <c r="C1672" s="26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</row>
    <row r="1673" spans="1:41" ht="13.5" customHeight="1">
      <c r="A1673" s="1"/>
      <c r="B1673" s="1"/>
      <c r="C1673" s="26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</row>
    <row r="1674" spans="1:41" ht="13.5" customHeight="1">
      <c r="A1674" s="1"/>
      <c r="B1674" s="1"/>
      <c r="C1674" s="26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</row>
    <row r="1675" spans="1:41" ht="13.5" customHeight="1">
      <c r="A1675" s="1"/>
      <c r="B1675" s="1"/>
      <c r="C1675" s="26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</row>
    <row r="1676" spans="1:41" ht="13.5" customHeight="1">
      <c r="A1676" s="1"/>
      <c r="B1676" s="1"/>
      <c r="C1676" s="26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</row>
    <row r="1677" spans="1:41" ht="13.5" customHeight="1">
      <c r="A1677" s="1"/>
      <c r="B1677" s="1"/>
      <c r="C1677" s="26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</row>
    <row r="1678" spans="1:41" ht="13.5" customHeight="1">
      <c r="A1678" s="1"/>
      <c r="B1678" s="1"/>
      <c r="C1678" s="26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</row>
    <row r="1679" spans="1:41" ht="13.5" customHeight="1">
      <c r="A1679" s="1"/>
      <c r="B1679" s="1"/>
      <c r="C1679" s="26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</row>
    <row r="1680" spans="1:41" ht="13.5" customHeight="1">
      <c r="A1680" s="1"/>
      <c r="B1680" s="1"/>
      <c r="C1680" s="26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</row>
    <row r="1681" spans="1:41" ht="13.5" customHeight="1">
      <c r="A1681" s="1"/>
      <c r="B1681" s="1"/>
      <c r="C1681" s="26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</row>
    <row r="1682" spans="1:41" ht="13.5" customHeight="1">
      <c r="A1682" s="1"/>
      <c r="B1682" s="1"/>
      <c r="C1682" s="26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</row>
    <row r="1683" spans="1:41" ht="13.5" customHeight="1">
      <c r="A1683" s="1"/>
      <c r="B1683" s="1"/>
      <c r="C1683" s="26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</row>
    <row r="1684" spans="1:41" ht="13.5" customHeight="1">
      <c r="A1684" s="1"/>
      <c r="B1684" s="1"/>
      <c r="C1684" s="26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</row>
    <row r="1685" spans="1:41" ht="13.5" customHeight="1">
      <c r="A1685" s="1"/>
      <c r="B1685" s="1"/>
      <c r="C1685" s="26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</row>
    <row r="1686" spans="1:41" ht="13.5" customHeight="1">
      <c r="A1686" s="1"/>
      <c r="B1686" s="1"/>
      <c r="C1686" s="26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</row>
    <row r="1687" spans="1:41" ht="13.5" customHeight="1">
      <c r="A1687" s="1"/>
      <c r="B1687" s="1"/>
      <c r="C1687" s="26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</row>
    <row r="1688" spans="1:41" ht="13.5" customHeight="1">
      <c r="A1688" s="1"/>
      <c r="B1688" s="1"/>
      <c r="C1688" s="26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</row>
    <row r="1689" spans="1:41" ht="13.5" customHeight="1">
      <c r="A1689" s="1"/>
      <c r="B1689" s="1"/>
      <c r="C1689" s="26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</row>
    <row r="1690" spans="1:41" ht="13.5" customHeight="1">
      <c r="A1690" s="1"/>
      <c r="B1690" s="1"/>
      <c r="C1690" s="26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</row>
    <row r="1691" spans="1:41" ht="13.5" customHeight="1">
      <c r="A1691" s="1"/>
      <c r="B1691" s="1"/>
      <c r="C1691" s="26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</row>
    <row r="1692" spans="1:41" ht="13.5" customHeight="1">
      <c r="A1692" s="1"/>
      <c r="B1692" s="1"/>
      <c r="C1692" s="26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</row>
    <row r="1693" spans="1:41" ht="13.5" customHeight="1">
      <c r="A1693" s="1"/>
      <c r="B1693" s="1"/>
      <c r="C1693" s="26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</row>
    <row r="1694" spans="1:41" ht="13.5" customHeight="1">
      <c r="A1694" s="1"/>
      <c r="B1694" s="1"/>
      <c r="C1694" s="26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</row>
    <row r="1695" spans="1:41" ht="13.5" customHeight="1">
      <c r="A1695" s="1"/>
      <c r="B1695" s="1"/>
      <c r="C1695" s="26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</row>
    <row r="1696" spans="1:41" ht="13.5" customHeight="1">
      <c r="A1696" s="1"/>
      <c r="B1696" s="1"/>
      <c r="C1696" s="26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</row>
    <row r="1697" spans="1:41" ht="13.5" customHeight="1">
      <c r="A1697" s="1"/>
      <c r="B1697" s="1"/>
      <c r="C1697" s="26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</row>
    <row r="1698" spans="1:41" ht="13.5" customHeight="1">
      <c r="A1698" s="1"/>
      <c r="B1698" s="1"/>
      <c r="C1698" s="26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</row>
    <row r="1699" spans="1:41" ht="13.5" customHeight="1">
      <c r="A1699" s="1"/>
      <c r="B1699" s="1"/>
      <c r="C1699" s="26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</row>
    <row r="1700" spans="1:41" ht="13.5" customHeight="1">
      <c r="A1700" s="1"/>
      <c r="B1700" s="1"/>
      <c r="C1700" s="26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</row>
    <row r="1701" spans="1:41" ht="13.5" customHeight="1">
      <c r="A1701" s="1"/>
      <c r="B1701" s="1"/>
      <c r="C1701" s="26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</row>
    <row r="1702" spans="1:41" ht="13.5" customHeight="1">
      <c r="A1702" s="1"/>
      <c r="B1702" s="1"/>
      <c r="C1702" s="26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</row>
    <row r="1703" spans="1:41" ht="13.5" customHeight="1">
      <c r="A1703" s="1"/>
      <c r="B1703" s="1"/>
      <c r="C1703" s="26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</row>
    <row r="1704" spans="1:41" ht="13.5" customHeight="1">
      <c r="A1704" s="1"/>
      <c r="B1704" s="1"/>
      <c r="C1704" s="26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</row>
    <row r="1705" spans="1:41" ht="13.5" customHeight="1">
      <c r="A1705" s="1"/>
      <c r="B1705" s="1"/>
      <c r="C1705" s="26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</row>
    <row r="1706" spans="1:41" ht="13.5" customHeight="1">
      <c r="A1706" s="1"/>
      <c r="B1706" s="1"/>
      <c r="C1706" s="26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</row>
    <row r="1707" spans="1:41" ht="13.5" customHeight="1">
      <c r="A1707" s="1"/>
      <c r="B1707" s="1"/>
      <c r="C1707" s="26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</row>
    <row r="1708" spans="1:41" ht="13.5" customHeight="1">
      <c r="A1708" s="1"/>
      <c r="B1708" s="1"/>
      <c r="C1708" s="26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</row>
    <row r="1709" spans="1:41" ht="13.5" customHeight="1">
      <c r="A1709" s="1"/>
      <c r="B1709" s="1"/>
      <c r="C1709" s="26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</row>
    <row r="1710" spans="1:41" ht="13.5" customHeight="1">
      <c r="A1710" s="1"/>
      <c r="B1710" s="1"/>
      <c r="C1710" s="26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</row>
    <row r="1711" spans="1:41" ht="13.5" customHeight="1">
      <c r="A1711" s="1"/>
      <c r="B1711" s="1"/>
      <c r="C1711" s="26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</row>
    <row r="1712" spans="1:41" ht="13.5" customHeight="1">
      <c r="A1712" s="1"/>
      <c r="B1712" s="1"/>
      <c r="C1712" s="26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</row>
    <row r="1713" spans="1:41" ht="13.5" customHeight="1">
      <c r="A1713" s="1"/>
      <c r="B1713" s="1"/>
      <c r="C1713" s="26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</row>
    <row r="1714" spans="1:41" ht="13.5" customHeight="1">
      <c r="A1714" s="1"/>
      <c r="B1714" s="1"/>
      <c r="C1714" s="26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</row>
    <row r="1715" spans="1:41" ht="13.5" customHeight="1">
      <c r="A1715" s="1"/>
      <c r="B1715" s="1"/>
      <c r="C1715" s="26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</row>
    <row r="1716" spans="1:41" ht="13.5" customHeight="1">
      <c r="A1716" s="1"/>
      <c r="B1716" s="1"/>
      <c r="C1716" s="26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</row>
    <row r="1717" spans="1:41" ht="13.5" customHeight="1">
      <c r="A1717" s="1"/>
      <c r="B1717" s="1"/>
      <c r="C1717" s="26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</row>
    <row r="1718" spans="1:41" ht="13.5" customHeight="1">
      <c r="A1718" s="1"/>
      <c r="B1718" s="1"/>
      <c r="C1718" s="26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</row>
    <row r="1719" spans="1:41" ht="13.5" customHeight="1">
      <c r="A1719" s="1"/>
      <c r="B1719" s="1"/>
      <c r="C1719" s="26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</row>
    <row r="1720" spans="1:41" ht="13.5" customHeight="1">
      <c r="A1720" s="1"/>
      <c r="B1720" s="1"/>
      <c r="C1720" s="26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</row>
    <row r="1721" spans="1:41" ht="13.5" customHeight="1">
      <c r="A1721" s="1"/>
      <c r="B1721" s="1"/>
      <c r="C1721" s="26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</row>
    <row r="1722" spans="1:41" ht="13.5" customHeight="1">
      <c r="A1722" s="1"/>
      <c r="B1722" s="1"/>
      <c r="C1722" s="26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</row>
    <row r="1723" spans="1:41" ht="13.5" customHeight="1">
      <c r="A1723" s="1"/>
      <c r="B1723" s="1"/>
      <c r="C1723" s="26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</row>
    <row r="1724" spans="1:41" ht="13.5" customHeight="1">
      <c r="A1724" s="1"/>
      <c r="B1724" s="1"/>
      <c r="C1724" s="26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</row>
    <row r="1725" spans="1:41" ht="13.5" customHeight="1">
      <c r="A1725" s="1"/>
      <c r="B1725" s="1"/>
      <c r="C1725" s="26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</row>
    <row r="1726" spans="1:41" ht="13.5" customHeight="1">
      <c r="A1726" s="1"/>
      <c r="B1726" s="1"/>
      <c r="C1726" s="26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</row>
    <row r="1727" spans="1:41" ht="13.5" customHeight="1">
      <c r="A1727" s="1"/>
      <c r="B1727" s="1"/>
      <c r="C1727" s="26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</row>
    <row r="1728" spans="1:41" ht="13.5" customHeight="1">
      <c r="A1728" s="1"/>
      <c r="B1728" s="1"/>
      <c r="C1728" s="26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</row>
    <row r="1729" spans="1:41" ht="13.5" customHeight="1">
      <c r="A1729" s="1"/>
      <c r="B1729" s="1"/>
      <c r="C1729" s="26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</row>
    <row r="1730" spans="1:41" ht="13.5" customHeight="1">
      <c r="A1730" s="1"/>
      <c r="B1730" s="1"/>
      <c r="C1730" s="26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</row>
    <row r="1731" spans="1:41" ht="13.5" customHeight="1">
      <c r="A1731" s="1"/>
      <c r="B1731" s="1"/>
      <c r="C1731" s="26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</row>
    <row r="1732" spans="1:41" ht="13.5" customHeight="1">
      <c r="A1732" s="1"/>
      <c r="B1732" s="1"/>
      <c r="C1732" s="26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</row>
    <row r="1733" spans="1:41" ht="13.5" customHeight="1">
      <c r="A1733" s="1"/>
      <c r="B1733" s="1"/>
      <c r="C1733" s="26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</row>
    <row r="1734" spans="1:41" ht="13.5" customHeight="1">
      <c r="A1734" s="1"/>
      <c r="B1734" s="1"/>
      <c r="C1734" s="26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</row>
    <row r="1735" spans="1:41" ht="13.5" customHeight="1">
      <c r="A1735" s="1"/>
      <c r="B1735" s="1"/>
      <c r="C1735" s="26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</row>
    <row r="1736" spans="1:41" ht="13.5" customHeight="1">
      <c r="A1736" s="1"/>
      <c r="B1736" s="1"/>
      <c r="C1736" s="26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</row>
    <row r="1737" spans="1:41" ht="13.5" customHeight="1">
      <c r="A1737" s="1"/>
      <c r="B1737" s="1"/>
      <c r="C1737" s="26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</row>
    <row r="1738" spans="1:41" ht="13.5" customHeight="1">
      <c r="A1738" s="1"/>
      <c r="B1738" s="1"/>
      <c r="C1738" s="26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</row>
    <row r="1739" spans="1:41" ht="13.5" customHeight="1">
      <c r="A1739" s="1"/>
      <c r="B1739" s="1"/>
      <c r="C1739" s="26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</row>
    <row r="1740" spans="1:41" ht="13.5" customHeight="1">
      <c r="A1740" s="1"/>
      <c r="B1740" s="1"/>
      <c r="C1740" s="26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</row>
    <row r="1741" spans="1:41" ht="13.5" customHeight="1">
      <c r="A1741" s="1"/>
      <c r="B1741" s="1"/>
      <c r="C1741" s="26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</row>
    <row r="1742" spans="1:41" ht="13.5" customHeight="1">
      <c r="A1742" s="1"/>
      <c r="B1742" s="1"/>
      <c r="C1742" s="26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</row>
    <row r="1743" spans="1:41" ht="13.5" customHeight="1">
      <c r="A1743" s="1"/>
      <c r="B1743" s="1"/>
      <c r="C1743" s="26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</row>
    <row r="1744" spans="1:41" ht="13.5" customHeight="1">
      <c r="A1744" s="1"/>
      <c r="B1744" s="1"/>
      <c r="C1744" s="26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</row>
    <row r="1745" spans="1:41" ht="13.5" customHeight="1">
      <c r="A1745" s="1"/>
      <c r="B1745" s="1"/>
      <c r="C1745" s="26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</row>
    <row r="1746" spans="1:41" ht="13.5" customHeight="1">
      <c r="A1746" s="1"/>
      <c r="B1746" s="1"/>
      <c r="C1746" s="26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</row>
    <row r="1747" spans="1:41" ht="13.5" customHeight="1">
      <c r="A1747" s="1"/>
      <c r="B1747" s="1"/>
      <c r="C1747" s="26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</row>
    <row r="1748" spans="1:41" ht="13.5" customHeight="1">
      <c r="A1748" s="1"/>
      <c r="B1748" s="1"/>
      <c r="C1748" s="26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</row>
    <row r="1749" spans="1:41" ht="13.5" customHeight="1">
      <c r="A1749" s="1"/>
      <c r="B1749" s="1"/>
      <c r="C1749" s="26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</row>
    <row r="1750" spans="1:41" ht="13.5" customHeight="1">
      <c r="A1750" s="1"/>
      <c r="B1750" s="1"/>
      <c r="C1750" s="26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</row>
    <row r="1751" spans="1:41" ht="13.5" customHeight="1">
      <c r="A1751" s="1"/>
      <c r="B1751" s="1"/>
      <c r="C1751" s="26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</row>
    <row r="1752" spans="1:41" ht="13.5" customHeight="1">
      <c r="A1752" s="1"/>
      <c r="B1752" s="1"/>
      <c r="C1752" s="26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</row>
    <row r="1753" spans="1:41" ht="13.5" customHeight="1">
      <c r="A1753" s="1"/>
      <c r="B1753" s="1"/>
      <c r="C1753" s="26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</row>
    <row r="1754" spans="1:41" ht="13.5" customHeight="1">
      <c r="A1754" s="1"/>
      <c r="B1754" s="1"/>
      <c r="C1754" s="26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</row>
    <row r="1755" spans="1:41" ht="13.5" customHeight="1">
      <c r="A1755" s="1"/>
      <c r="B1755" s="1"/>
      <c r="C1755" s="26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</row>
    <row r="1756" spans="1:41" ht="13.5" customHeight="1">
      <c r="A1756" s="1"/>
      <c r="B1756" s="1"/>
      <c r="C1756" s="26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</row>
    <row r="1757" spans="1:41" ht="13.5" customHeight="1">
      <c r="A1757" s="1"/>
      <c r="B1757" s="1"/>
      <c r="C1757" s="26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</row>
    <row r="1758" spans="1:41" ht="13.5" customHeight="1">
      <c r="A1758" s="1"/>
      <c r="B1758" s="1"/>
      <c r="C1758" s="26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</row>
    <row r="1759" spans="1:41" ht="13.5" customHeight="1">
      <c r="A1759" s="1"/>
      <c r="B1759" s="1"/>
      <c r="C1759" s="26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</row>
    <row r="1760" spans="1:41" ht="13.5" customHeight="1">
      <c r="A1760" s="1"/>
      <c r="B1760" s="1"/>
      <c r="C1760" s="26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</row>
    <row r="1761" spans="1:41" ht="13.5" customHeight="1">
      <c r="A1761" s="1"/>
      <c r="B1761" s="1"/>
      <c r="C1761" s="26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</row>
    <row r="1762" spans="1:41" ht="13.5" customHeight="1">
      <c r="A1762" s="1"/>
      <c r="B1762" s="1"/>
      <c r="C1762" s="26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</row>
    <row r="1763" spans="1:41" ht="13.5" customHeight="1">
      <c r="A1763" s="1"/>
      <c r="B1763" s="1"/>
      <c r="C1763" s="26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</row>
    <row r="1764" spans="1:41" ht="13.5" customHeight="1">
      <c r="A1764" s="1"/>
      <c r="B1764" s="1"/>
      <c r="C1764" s="26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</row>
    <row r="1765" spans="1:41" ht="13.5" customHeight="1">
      <c r="A1765" s="1"/>
      <c r="B1765" s="1"/>
      <c r="C1765" s="26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</row>
    <row r="1766" spans="1:41" ht="13.5" customHeight="1">
      <c r="A1766" s="1"/>
      <c r="B1766" s="1"/>
      <c r="C1766" s="26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</row>
    <row r="1767" spans="1:41" ht="13.5" customHeight="1">
      <c r="A1767" s="1"/>
      <c r="B1767" s="1"/>
      <c r="C1767" s="26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</row>
    <row r="1768" spans="1:41" ht="13.5" customHeight="1">
      <c r="A1768" s="1"/>
      <c r="B1768" s="1"/>
      <c r="C1768" s="26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</row>
    <row r="1769" spans="1:41" ht="13.5" customHeight="1">
      <c r="A1769" s="1"/>
      <c r="B1769" s="1"/>
      <c r="C1769" s="26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</row>
    <row r="1770" spans="1:41" ht="13.5" customHeight="1">
      <c r="A1770" s="1"/>
      <c r="B1770" s="1"/>
      <c r="C1770" s="26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</row>
    <row r="1771" spans="1:41" ht="13.5" customHeight="1">
      <c r="A1771" s="1"/>
      <c r="B1771" s="1"/>
      <c r="C1771" s="26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</row>
    <row r="1772" spans="1:41" ht="13.5" customHeight="1">
      <c r="A1772" s="1"/>
      <c r="B1772" s="1"/>
      <c r="C1772" s="26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</row>
    <row r="1773" spans="1:41" ht="13.5" customHeight="1">
      <c r="A1773" s="1"/>
      <c r="B1773" s="1"/>
      <c r="C1773" s="26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</row>
    <row r="1774" spans="1:41" ht="13.5" customHeight="1">
      <c r="A1774" s="1"/>
      <c r="B1774" s="1"/>
      <c r="C1774" s="26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</row>
    <row r="1775" spans="1:41" ht="13.5" customHeight="1">
      <c r="A1775" s="1"/>
      <c r="B1775" s="1"/>
      <c r="C1775" s="26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</row>
    <row r="1776" spans="1:41" ht="13.5" customHeight="1">
      <c r="A1776" s="1"/>
      <c r="B1776" s="1"/>
      <c r="C1776" s="26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</row>
    <row r="1777" spans="1:41" ht="13.5" customHeight="1">
      <c r="A1777" s="1"/>
      <c r="B1777" s="1"/>
      <c r="C1777" s="26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  <c r="AO1777" s="7"/>
    </row>
    <row r="1778" spans="1:41" ht="13.5" customHeight="1">
      <c r="A1778" s="1"/>
      <c r="B1778" s="1"/>
      <c r="C1778" s="26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</row>
    <row r="1779" spans="1:41" ht="13.5" customHeight="1">
      <c r="A1779" s="1"/>
      <c r="B1779" s="1"/>
      <c r="C1779" s="26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</row>
    <row r="1780" spans="1:41" ht="13.5" customHeight="1">
      <c r="A1780" s="1"/>
      <c r="B1780" s="1"/>
      <c r="C1780" s="26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  <c r="AO1780" s="7"/>
    </row>
    <row r="1781" spans="1:41" ht="13.5" customHeight="1">
      <c r="A1781" s="1"/>
      <c r="B1781" s="1"/>
      <c r="C1781" s="26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  <c r="AO1781" s="7"/>
    </row>
    <row r="1782" spans="1:41" ht="13.5" customHeight="1">
      <c r="A1782" s="1"/>
      <c r="B1782" s="1"/>
      <c r="C1782" s="26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</row>
    <row r="1783" spans="1:41" ht="13.5" customHeight="1">
      <c r="A1783" s="1"/>
      <c r="B1783" s="1"/>
      <c r="C1783" s="26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  <c r="AO1783" s="7"/>
    </row>
    <row r="1784" spans="1:41" ht="13.5" customHeight="1">
      <c r="A1784" s="1"/>
      <c r="B1784" s="1"/>
      <c r="C1784" s="26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  <c r="AO1784" s="7"/>
    </row>
    <row r="1785" spans="1:41" ht="13.5" customHeight="1">
      <c r="A1785" s="1"/>
      <c r="B1785" s="1"/>
      <c r="C1785" s="26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</row>
    <row r="1786" spans="1:41" ht="13.5" customHeight="1">
      <c r="A1786" s="1"/>
      <c r="B1786" s="1"/>
      <c r="C1786" s="26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  <c r="AO1786" s="7"/>
    </row>
    <row r="1787" spans="1:41" ht="13.5" customHeight="1">
      <c r="A1787" s="1"/>
      <c r="B1787" s="1"/>
      <c r="C1787" s="26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  <c r="AO1787" s="7"/>
    </row>
    <row r="1788" spans="1:41" ht="13.5" customHeight="1">
      <c r="A1788" s="1"/>
      <c r="B1788" s="1"/>
      <c r="C1788" s="26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</row>
    <row r="1789" spans="1:41" ht="13.5" customHeight="1">
      <c r="A1789" s="1"/>
      <c r="B1789" s="1"/>
      <c r="C1789" s="26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</row>
    <row r="1790" spans="1:41" ht="13.5" customHeight="1">
      <c r="A1790" s="1"/>
      <c r="B1790" s="1"/>
      <c r="C1790" s="26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</row>
    <row r="1791" spans="1:41" ht="13.5" customHeight="1">
      <c r="A1791" s="1"/>
      <c r="B1791" s="1"/>
      <c r="C1791" s="26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  <c r="AO1791" s="7"/>
    </row>
    <row r="1792" spans="1:41" ht="13.5" customHeight="1">
      <c r="A1792" s="1"/>
      <c r="B1792" s="1"/>
      <c r="C1792" s="26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  <c r="AO1792" s="7"/>
    </row>
    <row r="1793" spans="1:41" ht="13.5" customHeight="1">
      <c r="A1793" s="1"/>
      <c r="B1793" s="1"/>
      <c r="C1793" s="26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</row>
    <row r="1794" spans="1:41" ht="13.5" customHeight="1">
      <c r="A1794" s="1"/>
      <c r="B1794" s="1"/>
      <c r="C1794" s="26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  <c r="AO1794" s="7"/>
    </row>
    <row r="1795" spans="1:41" ht="13.5" customHeight="1">
      <c r="A1795" s="1"/>
      <c r="B1795" s="1"/>
      <c r="C1795" s="26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  <c r="AO1795" s="7"/>
    </row>
    <row r="1796" spans="1:41" ht="13.5" customHeight="1">
      <c r="A1796" s="1"/>
      <c r="B1796" s="1"/>
      <c r="C1796" s="26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</row>
    <row r="1797" spans="1:41" ht="13.5" customHeight="1">
      <c r="A1797" s="1"/>
      <c r="B1797" s="1"/>
      <c r="C1797" s="26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</row>
    <row r="1798" spans="1:41" ht="13.5" customHeight="1">
      <c r="A1798" s="1"/>
      <c r="B1798" s="1"/>
      <c r="C1798" s="26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  <c r="AO1798" s="7"/>
    </row>
    <row r="1799" spans="1:41" ht="13.5" customHeight="1">
      <c r="A1799" s="1"/>
      <c r="B1799" s="1"/>
      <c r="C1799" s="26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</row>
    <row r="1800" spans="1:41" ht="13.5" customHeight="1">
      <c r="A1800" s="1"/>
      <c r="B1800" s="1"/>
      <c r="C1800" s="26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</row>
    <row r="1801" spans="1:41" ht="13.5" customHeight="1">
      <c r="A1801" s="1"/>
      <c r="B1801" s="1"/>
      <c r="C1801" s="26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  <c r="AO1801" s="7"/>
    </row>
    <row r="1802" spans="1:41" ht="13.5" customHeight="1">
      <c r="A1802" s="1"/>
      <c r="B1802" s="1"/>
      <c r="C1802" s="26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  <c r="AO1802" s="7"/>
    </row>
    <row r="1803" spans="1:41" ht="13.5" customHeight="1">
      <c r="A1803" s="1"/>
      <c r="B1803" s="1"/>
      <c r="C1803" s="26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</row>
    <row r="1804" spans="1:41" ht="13.5" customHeight="1">
      <c r="A1804" s="1"/>
      <c r="B1804" s="1"/>
      <c r="C1804" s="26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</row>
    <row r="1805" spans="1:41" ht="13.5" customHeight="1">
      <c r="A1805" s="1"/>
      <c r="B1805" s="1"/>
      <c r="C1805" s="26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</row>
    <row r="1806" spans="1:41" ht="13.5" customHeight="1">
      <c r="A1806" s="1"/>
      <c r="B1806" s="1"/>
      <c r="C1806" s="26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  <c r="AO1806" s="7"/>
    </row>
    <row r="1807" spans="1:41" ht="13.5" customHeight="1">
      <c r="A1807" s="1"/>
      <c r="B1807" s="1"/>
      <c r="C1807" s="26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</row>
    <row r="1808" spans="1:41" ht="13.5" customHeight="1">
      <c r="A1808" s="1"/>
      <c r="B1808" s="1"/>
      <c r="C1808" s="26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</row>
    <row r="1809" spans="1:41" ht="13.5" customHeight="1">
      <c r="A1809" s="1"/>
      <c r="B1809" s="1"/>
      <c r="C1809" s="26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  <c r="AO1809" s="7"/>
    </row>
    <row r="1810" spans="1:41" ht="13.5" customHeight="1">
      <c r="A1810" s="1"/>
      <c r="B1810" s="1"/>
      <c r="C1810" s="26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  <c r="AO1810" s="7"/>
    </row>
    <row r="1811" spans="1:41" ht="13.5" customHeight="1">
      <c r="A1811" s="1"/>
      <c r="B1811" s="1"/>
      <c r="C1811" s="26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</row>
    <row r="1812" spans="1:41" ht="13.5" customHeight="1">
      <c r="A1812" s="1"/>
      <c r="B1812" s="1"/>
      <c r="C1812" s="26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</row>
    <row r="1813" spans="1:41" ht="13.5" customHeight="1">
      <c r="A1813" s="1"/>
      <c r="B1813" s="1"/>
      <c r="C1813" s="26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</row>
    <row r="1814" spans="1:41" ht="13.5" customHeight="1">
      <c r="A1814" s="1"/>
      <c r="B1814" s="1"/>
      <c r="C1814" s="26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  <c r="AO1814" s="7"/>
    </row>
    <row r="1815" spans="1:41" ht="13.5" customHeight="1">
      <c r="A1815" s="1"/>
      <c r="B1815" s="1"/>
      <c r="C1815" s="26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</row>
    <row r="1816" spans="1:41" ht="13.5" customHeight="1">
      <c r="A1816" s="1"/>
      <c r="B1816" s="1"/>
      <c r="C1816" s="26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</row>
    <row r="1817" spans="1:41" ht="13.5" customHeight="1">
      <c r="A1817" s="1"/>
      <c r="B1817" s="1"/>
      <c r="C1817" s="26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</row>
    <row r="1818" spans="1:41" ht="13.5" customHeight="1">
      <c r="A1818" s="1"/>
      <c r="B1818" s="1"/>
      <c r="C1818" s="26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</row>
    <row r="1819" spans="1:41" ht="13.5" customHeight="1">
      <c r="A1819" s="1"/>
      <c r="B1819" s="1"/>
      <c r="C1819" s="26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  <c r="AO1819" s="7"/>
    </row>
    <row r="1820" spans="1:41" ht="13.5" customHeight="1">
      <c r="A1820" s="1"/>
      <c r="B1820" s="1"/>
      <c r="C1820" s="26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  <c r="AO1820" s="7"/>
    </row>
    <row r="1821" spans="1:41" ht="13.5" customHeight="1">
      <c r="A1821" s="1"/>
      <c r="B1821" s="1"/>
      <c r="C1821" s="26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</row>
    <row r="1822" spans="1:41" ht="13.5" customHeight="1">
      <c r="A1822" s="1"/>
      <c r="B1822" s="1"/>
      <c r="C1822" s="26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  <c r="AO1822" s="7"/>
    </row>
    <row r="1823" spans="1:41" ht="13.5" customHeight="1">
      <c r="A1823" s="1"/>
      <c r="B1823" s="1"/>
      <c r="C1823" s="26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</row>
    <row r="1824" spans="1:41" ht="13.5" customHeight="1">
      <c r="A1824" s="1"/>
      <c r="B1824" s="1"/>
      <c r="C1824" s="26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</row>
    <row r="1825" spans="1:41" ht="13.5" customHeight="1">
      <c r="A1825" s="1"/>
      <c r="B1825" s="1"/>
      <c r="C1825" s="26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</row>
    <row r="1826" spans="1:41" ht="13.5" customHeight="1">
      <c r="A1826" s="1"/>
      <c r="B1826" s="1"/>
      <c r="C1826" s="26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</row>
    <row r="1827" spans="1:41" ht="13.5" customHeight="1">
      <c r="A1827" s="1"/>
      <c r="B1827" s="1"/>
      <c r="C1827" s="26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  <c r="AO1827" s="7"/>
    </row>
    <row r="1828" spans="1:41" ht="13.5" customHeight="1">
      <c r="A1828" s="1"/>
      <c r="B1828" s="1"/>
      <c r="C1828" s="26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</row>
    <row r="1829" spans="1:41" ht="13.5" customHeight="1">
      <c r="A1829" s="1"/>
      <c r="B1829" s="1"/>
      <c r="C1829" s="26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</row>
    <row r="1830" spans="1:41" ht="13.5" customHeight="1">
      <c r="A1830" s="1"/>
      <c r="B1830" s="1"/>
      <c r="C1830" s="26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</row>
    <row r="1831" spans="1:41" ht="13.5" customHeight="1">
      <c r="A1831" s="1"/>
      <c r="B1831" s="1"/>
      <c r="C1831" s="26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</row>
    <row r="1832" spans="1:41" ht="13.5" customHeight="1">
      <c r="A1832" s="1"/>
      <c r="B1832" s="1"/>
      <c r="C1832" s="26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</row>
    <row r="1833" spans="1:41" ht="13.5" customHeight="1">
      <c r="A1833" s="1"/>
      <c r="B1833" s="1"/>
      <c r="C1833" s="26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</row>
    <row r="1834" spans="1:41" ht="13.5" customHeight="1">
      <c r="A1834" s="1"/>
      <c r="B1834" s="1"/>
      <c r="C1834" s="26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</row>
    <row r="1835" spans="1:41" ht="13.5" customHeight="1">
      <c r="A1835" s="1"/>
      <c r="B1835" s="1"/>
      <c r="C1835" s="26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</row>
    <row r="1836" spans="1:41" ht="13.5" customHeight="1">
      <c r="A1836" s="1"/>
      <c r="B1836" s="1"/>
      <c r="C1836" s="26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</row>
    <row r="1837" spans="1:41" ht="13.5" customHeight="1">
      <c r="A1837" s="1"/>
      <c r="B1837" s="1"/>
      <c r="C1837" s="26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  <c r="AO1837" s="7"/>
    </row>
    <row r="1838" spans="1:41" ht="13.5" customHeight="1">
      <c r="A1838" s="1"/>
      <c r="B1838" s="1"/>
      <c r="C1838" s="26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</row>
    <row r="1839" spans="1:41" ht="13.5" customHeight="1">
      <c r="A1839" s="1"/>
      <c r="B1839" s="1"/>
      <c r="C1839" s="26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</row>
    <row r="1840" spans="1:41" ht="13.5" customHeight="1">
      <c r="A1840" s="1"/>
      <c r="B1840" s="1"/>
      <c r="C1840" s="26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</row>
    <row r="1841" spans="1:41" ht="13.5" customHeight="1">
      <c r="A1841" s="1"/>
      <c r="B1841" s="1"/>
      <c r="C1841" s="26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</row>
    <row r="1842" spans="1:41" ht="13.5" customHeight="1">
      <c r="A1842" s="1"/>
      <c r="B1842" s="1"/>
      <c r="C1842" s="26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</row>
    <row r="1843" spans="1:41" ht="13.5" customHeight="1">
      <c r="A1843" s="1"/>
      <c r="B1843" s="1"/>
      <c r="C1843" s="26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</row>
    <row r="1844" spans="1:41" ht="13.5" customHeight="1">
      <c r="A1844" s="1"/>
      <c r="B1844" s="1"/>
      <c r="C1844" s="26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  <c r="AO1844" s="7"/>
    </row>
    <row r="1845" spans="1:41" ht="13.5" customHeight="1">
      <c r="A1845" s="1"/>
      <c r="B1845" s="1"/>
      <c r="C1845" s="26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  <c r="AO1845" s="7"/>
    </row>
    <row r="1846" spans="1:41" ht="13.5" customHeight="1">
      <c r="A1846" s="1"/>
      <c r="B1846" s="1"/>
      <c r="C1846" s="26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</row>
    <row r="1847" spans="1:41" ht="13.5" customHeight="1">
      <c r="A1847" s="1"/>
      <c r="B1847" s="1"/>
      <c r="C1847" s="26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</row>
    <row r="1848" spans="1:41" ht="13.5" customHeight="1">
      <c r="A1848" s="1"/>
      <c r="B1848" s="1"/>
      <c r="C1848" s="26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  <c r="AO1848" s="7"/>
    </row>
    <row r="1849" spans="1:41" ht="13.5" customHeight="1">
      <c r="A1849" s="1"/>
      <c r="B1849" s="1"/>
      <c r="C1849" s="26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</row>
    <row r="1850" spans="1:41" ht="13.5" customHeight="1">
      <c r="A1850" s="1"/>
      <c r="B1850" s="1"/>
      <c r="C1850" s="26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  <c r="AO1850" s="7"/>
    </row>
    <row r="1851" spans="1:41" ht="13.5" customHeight="1">
      <c r="A1851" s="1"/>
      <c r="B1851" s="1"/>
      <c r="C1851" s="26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  <c r="AO1851" s="7"/>
    </row>
    <row r="1852" spans="1:41" ht="13.5" customHeight="1">
      <c r="A1852" s="1"/>
      <c r="B1852" s="1"/>
      <c r="C1852" s="26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  <c r="AO1852" s="7"/>
    </row>
    <row r="1853" spans="1:41" ht="13.5" customHeight="1">
      <c r="A1853" s="1"/>
      <c r="B1853" s="1"/>
      <c r="C1853" s="26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  <c r="AO1853" s="7"/>
    </row>
    <row r="1854" spans="1:41" ht="13.5" customHeight="1">
      <c r="A1854" s="1"/>
      <c r="B1854" s="1"/>
      <c r="C1854" s="26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</row>
    <row r="1855" spans="1:41" ht="13.5" customHeight="1">
      <c r="A1855" s="1"/>
      <c r="B1855" s="1"/>
      <c r="C1855" s="26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  <c r="AO1855" s="7"/>
    </row>
    <row r="1856" spans="1:41" ht="13.5" customHeight="1">
      <c r="A1856" s="1"/>
      <c r="B1856" s="1"/>
      <c r="C1856" s="26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</row>
    <row r="1857" spans="1:41" ht="13.5" customHeight="1">
      <c r="A1857" s="1"/>
      <c r="B1857" s="1"/>
      <c r="C1857" s="26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</row>
    <row r="1858" spans="1:41" ht="13.5" customHeight="1">
      <c r="A1858" s="1"/>
      <c r="B1858" s="1"/>
      <c r="C1858" s="26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</row>
    <row r="1859" spans="1:41" ht="13.5" customHeight="1">
      <c r="A1859" s="1"/>
      <c r="B1859" s="1"/>
      <c r="C1859" s="26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</row>
    <row r="1860" spans="1:41" ht="13.5" customHeight="1">
      <c r="A1860" s="1"/>
      <c r="B1860" s="1"/>
      <c r="C1860" s="26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  <c r="AO1860" s="7"/>
    </row>
    <row r="1861" spans="1:41" ht="13.5" customHeight="1">
      <c r="A1861" s="1"/>
      <c r="B1861" s="1"/>
      <c r="C1861" s="26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</row>
    <row r="1862" spans="1:41" ht="13.5" customHeight="1">
      <c r="A1862" s="1"/>
      <c r="B1862" s="1"/>
      <c r="C1862" s="26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</row>
    <row r="1863" spans="1:41" ht="13.5" customHeight="1">
      <c r="A1863" s="1"/>
      <c r="B1863" s="1"/>
      <c r="C1863" s="26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</row>
    <row r="1864" spans="1:41" ht="13.5" customHeight="1">
      <c r="A1864" s="1"/>
      <c r="B1864" s="1"/>
      <c r="C1864" s="26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</row>
    <row r="1865" spans="1:41" ht="13.5" customHeight="1">
      <c r="A1865" s="1"/>
      <c r="B1865" s="1"/>
      <c r="C1865" s="26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</row>
    <row r="1866" spans="1:41" ht="13.5" customHeight="1">
      <c r="A1866" s="1"/>
      <c r="B1866" s="1"/>
      <c r="C1866" s="26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</row>
    <row r="1867" spans="1:41" ht="13.5" customHeight="1">
      <c r="A1867" s="1"/>
      <c r="B1867" s="1"/>
      <c r="C1867" s="26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  <c r="AO1867" s="7"/>
    </row>
    <row r="1868" spans="1:41" ht="13.5" customHeight="1">
      <c r="A1868" s="1"/>
      <c r="B1868" s="1"/>
      <c r="C1868" s="26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  <c r="AO1868" s="7"/>
    </row>
    <row r="1869" spans="1:41" ht="13.5" customHeight="1">
      <c r="A1869" s="1"/>
      <c r="B1869" s="1"/>
      <c r="C1869" s="26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  <c r="AO1869" s="7"/>
    </row>
    <row r="1870" spans="1:41" ht="13.5" customHeight="1">
      <c r="A1870" s="1"/>
      <c r="B1870" s="1"/>
      <c r="C1870" s="26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  <c r="AO1870" s="7"/>
    </row>
    <row r="1871" spans="1:41" ht="13.5" customHeight="1">
      <c r="A1871" s="1"/>
      <c r="B1871" s="1"/>
      <c r="C1871" s="26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  <c r="AO1871" s="7"/>
    </row>
    <row r="1872" spans="1:41" ht="13.5" customHeight="1">
      <c r="A1872" s="1"/>
      <c r="B1872" s="1"/>
      <c r="C1872" s="26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  <c r="AO1872" s="7"/>
    </row>
    <row r="1873" spans="1:41" ht="13.5" customHeight="1">
      <c r="A1873" s="1"/>
      <c r="B1873" s="1"/>
      <c r="C1873" s="26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</row>
    <row r="1874" spans="1:41" ht="13.5" customHeight="1">
      <c r="A1874" s="1"/>
      <c r="B1874" s="1"/>
      <c r="C1874" s="26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</row>
    <row r="1875" spans="1:41" ht="13.5" customHeight="1">
      <c r="A1875" s="1"/>
      <c r="B1875" s="1"/>
      <c r="C1875" s="26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</row>
    <row r="1876" spans="1:41" ht="13.5" customHeight="1">
      <c r="A1876" s="1"/>
      <c r="B1876" s="1"/>
      <c r="C1876" s="26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</row>
    <row r="1877" spans="1:41" ht="13.5" customHeight="1">
      <c r="A1877" s="1"/>
      <c r="B1877" s="1"/>
      <c r="C1877" s="26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</row>
    <row r="1878" spans="1:41" ht="13.5" customHeight="1">
      <c r="A1878" s="1"/>
      <c r="B1878" s="1"/>
      <c r="C1878" s="26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</row>
    <row r="1879" spans="1:41" ht="13.5" customHeight="1">
      <c r="A1879" s="1"/>
      <c r="B1879" s="1"/>
      <c r="C1879" s="26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</row>
    <row r="1880" spans="1:41" ht="13.5" customHeight="1">
      <c r="A1880" s="1"/>
      <c r="B1880" s="1"/>
      <c r="C1880" s="26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</row>
    <row r="1881" spans="1:41" ht="13.5" customHeight="1">
      <c r="A1881" s="1"/>
      <c r="B1881" s="1"/>
      <c r="C1881" s="26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</row>
    <row r="1882" spans="1:41" ht="13.5" customHeight="1">
      <c r="A1882" s="1"/>
      <c r="B1882" s="1"/>
      <c r="C1882" s="26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</row>
    <row r="1883" spans="1:41" ht="13.5" customHeight="1">
      <c r="A1883" s="1"/>
      <c r="B1883" s="1"/>
      <c r="C1883" s="26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</row>
    <row r="1884" spans="1:41" ht="13.5" customHeight="1">
      <c r="A1884" s="1"/>
      <c r="B1884" s="1"/>
      <c r="C1884" s="26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</row>
    <row r="1885" spans="1:41" ht="13.5" customHeight="1">
      <c r="A1885" s="1"/>
      <c r="B1885" s="1"/>
      <c r="C1885" s="26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</row>
    <row r="1886" spans="1:41" ht="13.5" customHeight="1">
      <c r="A1886" s="1"/>
      <c r="B1886" s="1"/>
      <c r="C1886" s="26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</row>
    <row r="1887" spans="1:41" ht="13.5" customHeight="1">
      <c r="A1887" s="1"/>
      <c r="B1887" s="1"/>
      <c r="C1887" s="26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</row>
    <row r="1888" spans="1:41" ht="13.5" customHeight="1">
      <c r="A1888" s="1"/>
      <c r="B1888" s="1"/>
      <c r="C1888" s="26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</row>
    <row r="1889" spans="1:41" ht="13.5" customHeight="1">
      <c r="A1889" s="1"/>
      <c r="B1889" s="1"/>
      <c r="C1889" s="26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</row>
    <row r="1890" spans="1:41" ht="13.5" customHeight="1">
      <c r="A1890" s="1"/>
      <c r="B1890" s="1"/>
      <c r="C1890" s="26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</row>
    <row r="1891" spans="1:41" ht="13.5" customHeight="1">
      <c r="A1891" s="1"/>
      <c r="B1891" s="1"/>
      <c r="C1891" s="26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</row>
    <row r="1892" spans="1:41" ht="13.5" customHeight="1">
      <c r="A1892" s="1"/>
      <c r="B1892" s="1"/>
      <c r="C1892" s="26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</row>
    <row r="1893" spans="1:41" ht="13.5" customHeight="1">
      <c r="A1893" s="1"/>
      <c r="B1893" s="1"/>
      <c r="C1893" s="26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</row>
    <row r="1894" spans="1:41" ht="13.5" customHeight="1">
      <c r="A1894" s="1"/>
      <c r="B1894" s="1"/>
      <c r="C1894" s="26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</row>
    <row r="1895" spans="1:41" ht="13.5" customHeight="1">
      <c r="A1895" s="1"/>
      <c r="B1895" s="1"/>
      <c r="C1895" s="26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</row>
    <row r="1896" spans="1:41" ht="13.5" customHeight="1">
      <c r="A1896" s="1"/>
      <c r="B1896" s="1"/>
      <c r="C1896" s="26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</row>
    <row r="1897" spans="1:41" ht="13.5" customHeight="1">
      <c r="A1897" s="1"/>
      <c r="B1897" s="1"/>
      <c r="C1897" s="26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</row>
    <row r="1898" spans="1:41" ht="13.5" customHeight="1">
      <c r="A1898" s="1"/>
      <c r="B1898" s="1"/>
      <c r="C1898" s="26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</row>
    <row r="1899" spans="1:41" ht="13.5" customHeight="1">
      <c r="A1899" s="1"/>
      <c r="B1899" s="1"/>
      <c r="C1899" s="26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</row>
    <row r="1900" spans="1:41" ht="13.5" customHeight="1">
      <c r="A1900" s="1"/>
      <c r="B1900" s="1"/>
      <c r="C1900" s="26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</row>
    <row r="1901" spans="1:41" ht="13.5" customHeight="1">
      <c r="A1901" s="1"/>
      <c r="B1901" s="1"/>
      <c r="C1901" s="26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</row>
    <row r="1902" spans="1:41" ht="13.5" customHeight="1">
      <c r="A1902" s="1"/>
      <c r="B1902" s="1"/>
      <c r="C1902" s="26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</row>
    <row r="1903" spans="1:41" ht="13.5" customHeight="1">
      <c r="A1903" s="1"/>
      <c r="B1903" s="1"/>
      <c r="C1903" s="26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</row>
    <row r="1904" spans="1:41" ht="13.5" customHeight="1">
      <c r="A1904" s="1"/>
      <c r="B1904" s="1"/>
      <c r="C1904" s="26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</row>
    <row r="1905" spans="1:41" ht="13.5" customHeight="1">
      <c r="A1905" s="1"/>
      <c r="B1905" s="1"/>
      <c r="C1905" s="26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</row>
    <row r="1906" spans="1:41" ht="13.5" customHeight="1">
      <c r="A1906" s="1"/>
      <c r="B1906" s="1"/>
      <c r="C1906" s="26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</row>
    <row r="1907" spans="1:41" ht="13.5" customHeight="1">
      <c r="A1907" s="1"/>
      <c r="B1907" s="1"/>
      <c r="C1907" s="26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</row>
    <row r="1908" spans="1:41" ht="13.5" customHeight="1">
      <c r="A1908" s="1"/>
      <c r="B1908" s="1"/>
      <c r="C1908" s="26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</row>
    <row r="1909" spans="1:41" ht="13.5" customHeight="1">
      <c r="A1909" s="1"/>
      <c r="B1909" s="1"/>
      <c r="C1909" s="26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</row>
    <row r="1910" spans="1:41" ht="13.5" customHeight="1">
      <c r="A1910" s="1"/>
      <c r="B1910" s="1"/>
      <c r="C1910" s="26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</row>
    <row r="1911" spans="1:41" ht="13.5" customHeight="1">
      <c r="A1911" s="1"/>
      <c r="B1911" s="1"/>
      <c r="C1911" s="26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</row>
    <row r="1912" spans="1:41" ht="13.5" customHeight="1">
      <c r="A1912" s="1"/>
      <c r="B1912" s="1"/>
      <c r="C1912" s="26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</row>
    <row r="1913" spans="1:41" ht="13.5" customHeight="1">
      <c r="A1913" s="1"/>
      <c r="B1913" s="1"/>
      <c r="C1913" s="26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</row>
    <row r="1914" spans="1:41" ht="13.5" customHeight="1">
      <c r="A1914" s="1"/>
      <c r="B1914" s="1"/>
      <c r="C1914" s="26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</row>
    <row r="1915" spans="1:41" ht="13.5" customHeight="1">
      <c r="A1915" s="1"/>
      <c r="B1915" s="1"/>
      <c r="C1915" s="26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</row>
    <row r="1916" spans="1:41" ht="13.5" customHeight="1">
      <c r="A1916" s="1"/>
      <c r="B1916" s="1"/>
      <c r="C1916" s="26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  <c r="AO1916" s="7"/>
    </row>
    <row r="1917" spans="1:41" ht="13.5" customHeight="1">
      <c r="A1917" s="1"/>
      <c r="B1917" s="1"/>
      <c r="C1917" s="26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  <c r="AO1917" s="7"/>
    </row>
    <row r="1918" spans="1:41" ht="13.5" customHeight="1">
      <c r="A1918" s="1"/>
      <c r="B1918" s="1"/>
      <c r="C1918" s="26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  <c r="AO1918" s="7"/>
    </row>
    <row r="1919" spans="1:41" ht="13.5" customHeight="1">
      <c r="A1919" s="1"/>
      <c r="B1919" s="1"/>
      <c r="C1919" s="26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  <c r="AO1919" s="7"/>
    </row>
    <row r="1920" spans="1:41" ht="13.5" customHeight="1">
      <c r="A1920" s="1"/>
      <c r="B1920" s="1"/>
      <c r="C1920" s="26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  <c r="AO1920" s="7"/>
    </row>
    <row r="1921" spans="1:41" ht="13.5" customHeight="1">
      <c r="A1921" s="1"/>
      <c r="B1921" s="1"/>
      <c r="C1921" s="26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</row>
    <row r="1922" spans="1:41" ht="13.5" customHeight="1">
      <c r="A1922" s="1"/>
      <c r="B1922" s="1"/>
      <c r="C1922" s="26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</row>
    <row r="1923" spans="1:41" ht="13.5" customHeight="1">
      <c r="A1923" s="1"/>
      <c r="B1923" s="1"/>
      <c r="C1923" s="26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</row>
    <row r="1924" spans="1:41" ht="13.5" customHeight="1">
      <c r="A1924" s="1"/>
      <c r="B1924" s="1"/>
      <c r="C1924" s="26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</row>
    <row r="1925" spans="1:41" ht="13.5" customHeight="1">
      <c r="A1925" s="1"/>
      <c r="B1925" s="1"/>
      <c r="C1925" s="26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</row>
    <row r="1926" spans="1:41" ht="13.5" customHeight="1">
      <c r="A1926" s="1"/>
      <c r="B1926" s="1"/>
      <c r="C1926" s="26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  <c r="AO1926" s="7"/>
    </row>
    <row r="1927" spans="1:41" ht="13.5" customHeight="1">
      <c r="A1927" s="1"/>
      <c r="B1927" s="1"/>
      <c r="C1927" s="26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</row>
    <row r="1928" spans="1:41" ht="13.5" customHeight="1">
      <c r="A1928" s="1"/>
      <c r="B1928" s="1"/>
      <c r="C1928" s="26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</row>
    <row r="1929" spans="1:41" ht="13.5" customHeight="1">
      <c r="A1929" s="1"/>
      <c r="B1929" s="1"/>
      <c r="C1929" s="26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</row>
    <row r="1930" spans="1:41" ht="13.5" customHeight="1">
      <c r="A1930" s="1"/>
      <c r="B1930" s="1"/>
      <c r="C1930" s="26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  <c r="AO1930" s="7"/>
    </row>
    <row r="1931" spans="1:41" ht="13.5" customHeight="1">
      <c r="A1931" s="1"/>
      <c r="B1931" s="1"/>
      <c r="C1931" s="26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</row>
    <row r="1932" spans="1:41" ht="13.5" customHeight="1">
      <c r="A1932" s="1"/>
      <c r="B1932" s="1"/>
      <c r="C1932" s="26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</row>
    <row r="1933" spans="1:41" ht="13.5" customHeight="1">
      <c r="A1933" s="1"/>
      <c r="B1933" s="1"/>
      <c r="C1933" s="26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</row>
    <row r="1934" spans="1:41" ht="13.5" customHeight="1">
      <c r="A1934" s="1"/>
      <c r="B1934" s="1"/>
      <c r="C1934" s="26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</row>
    <row r="1935" spans="1:41" ht="13.5" customHeight="1">
      <c r="A1935" s="1"/>
      <c r="B1935" s="1"/>
      <c r="C1935" s="26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</row>
    <row r="1936" spans="1:41" ht="13.5" customHeight="1">
      <c r="A1936" s="1"/>
      <c r="B1936" s="1"/>
      <c r="C1936" s="26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</row>
    <row r="1937" spans="1:41" ht="13.5" customHeight="1">
      <c r="A1937" s="1"/>
      <c r="B1937" s="1"/>
      <c r="C1937" s="26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</row>
    <row r="1938" spans="1:41" ht="13.5" customHeight="1">
      <c r="A1938" s="1"/>
      <c r="B1938" s="1"/>
      <c r="C1938" s="26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</row>
    <row r="1939" spans="1:41" ht="13.5" customHeight="1">
      <c r="A1939" s="1"/>
      <c r="B1939" s="1"/>
      <c r="C1939" s="26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  <c r="AO1939" s="7"/>
    </row>
    <row r="1940" spans="1:41" ht="13.5" customHeight="1">
      <c r="A1940" s="1"/>
      <c r="B1940" s="1"/>
      <c r="C1940" s="26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</row>
    <row r="1941" spans="1:41" ht="13.5" customHeight="1">
      <c r="A1941" s="1"/>
      <c r="B1941" s="1"/>
      <c r="C1941" s="26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</row>
    <row r="1942" spans="1:41" ht="13.5" customHeight="1">
      <c r="A1942" s="1"/>
      <c r="B1942" s="1"/>
      <c r="C1942" s="26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  <c r="AO1942" s="7"/>
    </row>
    <row r="1943" spans="1:41" ht="13.5" customHeight="1">
      <c r="A1943" s="1"/>
      <c r="B1943" s="1"/>
      <c r="C1943" s="26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</row>
    <row r="1944" spans="1:41" ht="13.5" customHeight="1">
      <c r="A1944" s="1"/>
      <c r="B1944" s="1"/>
      <c r="C1944" s="26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</row>
    <row r="1945" spans="1:41" ht="13.5" customHeight="1">
      <c r="A1945" s="1"/>
      <c r="B1945" s="1"/>
      <c r="C1945" s="26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</row>
    <row r="1946" spans="1:41" ht="13.5" customHeight="1">
      <c r="A1946" s="1"/>
      <c r="B1946" s="1"/>
      <c r="C1946" s="26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</row>
    <row r="1947" spans="1:41" ht="13.5" customHeight="1">
      <c r="A1947" s="1"/>
      <c r="B1947" s="1"/>
      <c r="C1947" s="26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</row>
    <row r="1948" spans="1:41" ht="13.5" customHeight="1">
      <c r="A1948" s="1"/>
      <c r="B1948" s="1"/>
      <c r="C1948" s="26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</row>
    <row r="1949" spans="1:41" ht="13.5" customHeight="1">
      <c r="A1949" s="1"/>
      <c r="B1949" s="1"/>
      <c r="C1949" s="26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</row>
    <row r="1950" spans="1:41" ht="13.5" customHeight="1">
      <c r="A1950" s="1"/>
      <c r="B1950" s="1"/>
      <c r="C1950" s="26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  <c r="AO1950" s="7"/>
    </row>
    <row r="1951" spans="1:41" ht="13.5" customHeight="1">
      <c r="A1951" s="1"/>
      <c r="B1951" s="1"/>
      <c r="C1951" s="26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</row>
    <row r="1952" spans="1:41" ht="13.5" customHeight="1">
      <c r="A1952" s="1"/>
      <c r="B1952" s="1"/>
      <c r="C1952" s="26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</row>
    <row r="1953" spans="1:41" ht="13.5" customHeight="1">
      <c r="A1953" s="1"/>
      <c r="B1953" s="1"/>
      <c r="C1953" s="26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  <c r="AO1953" s="7"/>
    </row>
    <row r="1954" spans="1:41" ht="13.5" customHeight="1">
      <c r="A1954" s="1"/>
      <c r="B1954" s="1"/>
      <c r="C1954" s="26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  <c r="AO1954" s="7"/>
    </row>
    <row r="1955" spans="1:41" ht="13.5" customHeight="1">
      <c r="A1955" s="1"/>
      <c r="B1955" s="1"/>
      <c r="C1955" s="26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  <c r="AO1955" s="7"/>
    </row>
    <row r="1956" spans="1:41" ht="13.5" customHeight="1">
      <c r="A1956" s="1"/>
      <c r="B1956" s="1"/>
      <c r="C1956" s="26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  <c r="AO1956" s="7"/>
    </row>
    <row r="1957" spans="1:41" ht="13.5" customHeight="1">
      <c r="A1957" s="1"/>
      <c r="B1957" s="1"/>
      <c r="C1957" s="26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  <c r="AO1957" s="7"/>
    </row>
    <row r="1958" spans="1:41" ht="13.5" customHeight="1">
      <c r="A1958" s="1"/>
      <c r="B1958" s="1"/>
      <c r="C1958" s="26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  <c r="AO1958" s="7"/>
    </row>
    <row r="1959" spans="1:41" ht="13.5" customHeight="1">
      <c r="A1959" s="1"/>
      <c r="B1959" s="1"/>
      <c r="C1959" s="26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  <c r="AO1959" s="7"/>
    </row>
    <row r="1960" spans="1:41" ht="13.5" customHeight="1">
      <c r="A1960" s="1"/>
      <c r="B1960" s="1"/>
      <c r="C1960" s="26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  <c r="AO1960" s="7"/>
    </row>
    <row r="1961" spans="1:41" ht="13.5" customHeight="1">
      <c r="A1961" s="1"/>
      <c r="B1961" s="1"/>
      <c r="C1961" s="26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</row>
    <row r="1962" spans="1:41" ht="13.5" customHeight="1">
      <c r="A1962" s="1"/>
      <c r="B1962" s="1"/>
      <c r="C1962" s="26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  <c r="AO1962" s="7"/>
    </row>
    <row r="1963" spans="1:41" ht="13.5" customHeight="1">
      <c r="A1963" s="1"/>
      <c r="B1963" s="1"/>
      <c r="C1963" s="26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</row>
    <row r="1964" spans="1:41" ht="13.5" customHeight="1">
      <c r="A1964" s="1"/>
      <c r="B1964" s="1"/>
      <c r="C1964" s="26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</row>
    <row r="1965" spans="1:41" ht="13.5" customHeight="1">
      <c r="A1965" s="1"/>
      <c r="B1965" s="1"/>
      <c r="C1965" s="26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</row>
    <row r="1966" spans="1:41" ht="13.5" customHeight="1">
      <c r="A1966" s="1"/>
      <c r="B1966" s="1"/>
      <c r="C1966" s="26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</row>
    <row r="1967" spans="1:41" ht="13.5" customHeight="1">
      <c r="A1967" s="1"/>
      <c r="B1967" s="1"/>
      <c r="C1967" s="26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  <c r="AO1967" s="7"/>
    </row>
    <row r="1968" spans="1:41" ht="13.5" customHeight="1">
      <c r="A1968" s="1"/>
      <c r="B1968" s="1"/>
      <c r="C1968" s="26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</row>
    <row r="1969" spans="1:41" ht="13.5" customHeight="1">
      <c r="A1969" s="1"/>
      <c r="B1969" s="1"/>
      <c r="C1969" s="26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  <c r="AO1969" s="7"/>
    </row>
    <row r="1970" spans="1:41" ht="13.5" customHeight="1">
      <c r="A1970" s="1"/>
      <c r="B1970" s="1"/>
      <c r="C1970" s="26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  <c r="AO1970" s="7"/>
    </row>
    <row r="1971" spans="1:41" ht="13.5" customHeight="1">
      <c r="A1971" s="1"/>
      <c r="B1971" s="1"/>
      <c r="C1971" s="26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  <c r="AO1971" s="7"/>
    </row>
    <row r="1972" spans="1:41" ht="13.5" customHeight="1">
      <c r="A1972" s="1"/>
      <c r="B1972" s="1"/>
      <c r="C1972" s="26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  <c r="AO1972" s="7"/>
    </row>
    <row r="1973" spans="1:41" ht="13.5" customHeight="1">
      <c r="A1973" s="1"/>
      <c r="B1973" s="1"/>
      <c r="C1973" s="26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  <c r="AO1973" s="7"/>
    </row>
    <row r="1974" spans="1:41" ht="13.5" customHeight="1">
      <c r="A1974" s="1"/>
      <c r="B1974" s="1"/>
      <c r="C1974" s="26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  <c r="AO1974" s="7"/>
    </row>
    <row r="1975" spans="1:41" ht="13.5" customHeight="1">
      <c r="A1975" s="1"/>
      <c r="B1975" s="1"/>
      <c r="C1975" s="26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  <c r="AO1975" s="7"/>
    </row>
    <row r="1976" spans="1:41" ht="13.5" customHeight="1">
      <c r="A1976" s="1"/>
      <c r="B1976" s="1"/>
      <c r="C1976" s="26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  <c r="AO1976" s="7"/>
    </row>
    <row r="1977" spans="1:41" ht="13.5" customHeight="1">
      <c r="A1977" s="1"/>
      <c r="B1977" s="1"/>
      <c r="C1977" s="26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  <c r="AO1977" s="7"/>
    </row>
    <row r="1978" spans="1:41" ht="13.5" customHeight="1">
      <c r="A1978" s="1"/>
      <c r="B1978" s="1"/>
      <c r="C1978" s="26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  <c r="AO1978" s="7"/>
    </row>
    <row r="1979" spans="1:41" ht="13.5" customHeight="1">
      <c r="A1979" s="1"/>
      <c r="B1979" s="1"/>
      <c r="C1979" s="26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  <c r="AO1979" s="7"/>
    </row>
    <row r="1980" spans="1:41" ht="13.5" customHeight="1">
      <c r="A1980" s="1"/>
      <c r="B1980" s="1"/>
      <c r="C1980" s="26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  <c r="AO1980" s="7"/>
    </row>
    <row r="1981" spans="1:41" ht="13.5" customHeight="1">
      <c r="A1981" s="1"/>
      <c r="B1981" s="1"/>
      <c r="C1981" s="26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</row>
    <row r="1982" spans="1:41" ht="13.5" customHeight="1">
      <c r="A1982" s="1"/>
      <c r="B1982" s="1"/>
      <c r="C1982" s="26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</row>
    <row r="1983" spans="1:41" ht="13.5" customHeight="1">
      <c r="A1983" s="1"/>
      <c r="B1983" s="1"/>
      <c r="C1983" s="26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  <c r="AO1983" s="7"/>
    </row>
    <row r="1984" spans="1:41" ht="13.5" customHeight="1">
      <c r="A1984" s="1"/>
      <c r="B1984" s="1"/>
      <c r="C1984" s="26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  <c r="AO1984" s="7"/>
    </row>
  </sheetData>
  <conditionalFormatting sqref="I1:L1 M1:M47 L10:L1984 G48 M49:M1984 K251:K1984 I573:J1984">
    <cfRule type="expression" dxfId="58" priority="1">
      <formula>AND(ISNUMBER(I1),TRUNC(I1)&gt;TODAY())</formula>
    </cfRule>
  </conditionalFormatting>
  <dataValidations count="1">
    <dataValidation type="custom" allowBlank="1" showDropDown="1" sqref="D8:D41 D43:D46 D60 D76:D77 D81:D82">
      <formula1>OR(NOT(ISERROR(DATEVALUE(D8))), AND(ISNUMBER(D8), LEFT(CELL("format", D8))="D"))</formula1>
    </dataValidation>
  </dataValidations>
  <pageMargins left="0.7" right="0.7" top="0.75" bottom="0.75" header="0" footer="0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rightToLeft="1" workbookViewId="0"/>
  </sheetViews>
  <sheetFormatPr defaultColWidth="14.42578125" defaultRowHeight="15.75" customHeight="1"/>
  <cols>
    <col min="2" max="2" width="29.140625" customWidth="1"/>
    <col min="3" max="3" width="8.85546875" customWidth="1"/>
  </cols>
  <sheetData>
    <row r="1" spans="1:26">
      <c r="A1" s="29" t="str">
        <f ca="1">IFERROR(__xludf.DUMMYFUNCTION("IMPORTRANGE(""1xH2Vo1twBZQQZ--8vSs_tFr2yoCgpyc8Bsbm6mhDD6Y"", ""الدورات!A1:M"")"),"")</f>
        <v/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994"/>
  <sheetViews>
    <sheetView rightToLeft="1" zoomScale="130" zoomScaleNormal="130" workbookViewId="0">
      <selection activeCell="D10" sqref="D10"/>
    </sheetView>
  </sheetViews>
  <sheetFormatPr defaultColWidth="14.42578125" defaultRowHeight="15.75" customHeight="1"/>
  <cols>
    <col min="1" max="1" width="4.140625" customWidth="1"/>
    <col min="2" max="2" width="18.85546875" customWidth="1"/>
    <col min="8" max="8" width="10.7109375" customWidth="1"/>
  </cols>
  <sheetData>
    <row r="1" spans="1:38" ht="12.75">
      <c r="A1" s="103" t="s">
        <v>0</v>
      </c>
      <c r="B1" s="104" t="s">
        <v>1</v>
      </c>
      <c r="C1" s="105" t="s">
        <v>2</v>
      </c>
      <c r="D1" s="105" t="s">
        <v>3</v>
      </c>
      <c r="E1" s="106" t="s">
        <v>4</v>
      </c>
      <c r="F1" s="107" t="s">
        <v>5</v>
      </c>
      <c r="G1" s="32"/>
      <c r="H1" s="32"/>
      <c r="I1" s="32"/>
      <c r="J1" s="32"/>
      <c r="K1" s="32"/>
      <c r="L1" s="32"/>
      <c r="M1" s="32"/>
      <c r="N1" s="32"/>
      <c r="O1" s="33"/>
      <c r="P1" s="32"/>
      <c r="Q1" s="32"/>
      <c r="R1" s="34"/>
      <c r="S1" s="32"/>
      <c r="T1" s="32"/>
      <c r="U1" s="34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5"/>
      <c r="AG1" s="35"/>
      <c r="AH1" s="35"/>
      <c r="AI1" s="35"/>
      <c r="AJ1" s="35"/>
      <c r="AK1" s="35"/>
      <c r="AL1" s="35"/>
    </row>
    <row r="2" spans="1:38" ht="12.75">
      <c r="A2" s="101">
        <v>1</v>
      </c>
      <c r="B2" s="36" t="s">
        <v>6</v>
      </c>
      <c r="C2" s="32"/>
      <c r="D2" s="31" t="s">
        <v>7</v>
      </c>
      <c r="E2" s="33"/>
      <c r="F2" s="102" t="s">
        <v>8</v>
      </c>
      <c r="G2" s="32"/>
      <c r="H2" s="32"/>
      <c r="I2" s="32"/>
      <c r="J2" s="32"/>
      <c r="K2" s="32"/>
      <c r="L2" s="32"/>
      <c r="M2" s="32"/>
      <c r="N2" s="32"/>
      <c r="O2" s="33"/>
      <c r="P2" s="32"/>
      <c r="Q2" s="32"/>
      <c r="R2" s="34"/>
      <c r="S2" s="32"/>
      <c r="T2" s="32"/>
      <c r="U2" s="34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5"/>
      <c r="AG2" s="35"/>
      <c r="AH2" s="35"/>
      <c r="AI2" s="35"/>
      <c r="AJ2" s="35"/>
      <c r="AK2" s="35"/>
      <c r="AL2" s="37"/>
    </row>
    <row r="3" spans="1:38" ht="12.75">
      <c r="A3" s="101">
        <v>2</v>
      </c>
      <c r="B3" s="38" t="s">
        <v>10</v>
      </c>
      <c r="C3" s="39" t="s">
        <v>11</v>
      </c>
      <c r="D3" s="31" t="s">
        <v>7</v>
      </c>
      <c r="E3" s="40">
        <v>44515</v>
      </c>
      <c r="F3" s="102" t="s">
        <v>9</v>
      </c>
      <c r="G3" s="32"/>
      <c r="H3" s="32"/>
      <c r="I3" s="32"/>
      <c r="J3" s="32"/>
      <c r="K3" s="32"/>
      <c r="L3" s="32"/>
      <c r="M3" s="32"/>
      <c r="N3" s="32"/>
      <c r="O3" s="33"/>
      <c r="P3" s="32"/>
      <c r="Q3" s="32"/>
      <c r="R3" s="34"/>
      <c r="S3" s="32"/>
      <c r="T3" s="32"/>
      <c r="U3" s="34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5"/>
      <c r="AG3" s="35"/>
      <c r="AH3" s="35"/>
      <c r="AI3" s="35"/>
      <c r="AJ3" s="35"/>
      <c r="AK3" s="35"/>
      <c r="AL3" s="37"/>
    </row>
    <row r="4" spans="1:38" ht="12.75">
      <c r="A4" s="101">
        <v>3</v>
      </c>
      <c r="B4" s="41" t="s">
        <v>12</v>
      </c>
      <c r="C4" s="32" t="s">
        <v>13</v>
      </c>
      <c r="D4" s="31" t="s">
        <v>7</v>
      </c>
      <c r="E4" s="40">
        <v>44535</v>
      </c>
      <c r="F4" s="102" t="s">
        <v>8</v>
      </c>
      <c r="G4" s="32"/>
      <c r="H4" s="32"/>
      <c r="I4" s="32"/>
      <c r="J4" s="32"/>
      <c r="K4" s="32"/>
      <c r="L4" s="32"/>
      <c r="M4" s="32"/>
      <c r="N4" s="32"/>
      <c r="O4" s="33"/>
      <c r="P4" s="32"/>
      <c r="Q4" s="32"/>
      <c r="R4" s="34"/>
      <c r="S4" s="32"/>
      <c r="T4" s="32"/>
      <c r="U4" s="34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5"/>
      <c r="AG4" s="35"/>
      <c r="AH4" s="35"/>
      <c r="AI4" s="35"/>
      <c r="AJ4" s="35"/>
      <c r="AK4" s="35"/>
      <c r="AL4" s="35"/>
    </row>
    <row r="5" spans="1:38" ht="12.75">
      <c r="A5" s="101">
        <v>4</v>
      </c>
      <c r="B5" s="41" t="s">
        <v>14</v>
      </c>
      <c r="C5" s="32" t="s">
        <v>15</v>
      </c>
      <c r="D5" s="31" t="s">
        <v>7</v>
      </c>
      <c r="E5" s="40">
        <v>44530</v>
      </c>
      <c r="F5" s="102" t="s">
        <v>9</v>
      </c>
      <c r="G5" s="32"/>
      <c r="H5" s="32"/>
      <c r="I5" s="32"/>
      <c r="J5" s="32"/>
      <c r="K5" s="32"/>
      <c r="L5" s="32"/>
      <c r="M5" s="32"/>
      <c r="N5" s="32"/>
      <c r="O5" s="33"/>
      <c r="P5" s="32"/>
      <c r="Q5" s="32"/>
      <c r="R5" s="34"/>
      <c r="S5" s="32"/>
      <c r="T5" s="32"/>
      <c r="U5" s="34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5"/>
      <c r="AG5" s="35"/>
      <c r="AH5" s="35"/>
      <c r="AI5" s="35"/>
      <c r="AJ5" s="35"/>
      <c r="AK5" s="35"/>
      <c r="AL5" s="35"/>
    </row>
    <row r="6" spans="1:38" ht="12.75">
      <c r="A6" s="101">
        <v>5</v>
      </c>
      <c r="B6" s="41" t="s">
        <v>16</v>
      </c>
      <c r="C6" s="32" t="s">
        <v>17</v>
      </c>
      <c r="D6" s="31" t="s">
        <v>7</v>
      </c>
      <c r="E6" s="42">
        <v>44542</v>
      </c>
      <c r="F6" s="102" t="s">
        <v>8</v>
      </c>
      <c r="G6" s="32"/>
      <c r="H6" s="32"/>
      <c r="I6" s="32"/>
      <c r="J6" s="32"/>
      <c r="K6" s="32"/>
      <c r="L6" s="32"/>
      <c r="M6" s="32"/>
      <c r="N6" s="32"/>
      <c r="O6" s="33"/>
      <c r="P6" s="32"/>
      <c r="Q6" s="32"/>
      <c r="R6" s="34"/>
      <c r="S6" s="32"/>
      <c r="T6" s="32"/>
      <c r="U6" s="34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5"/>
      <c r="AG6" s="35"/>
      <c r="AH6" s="35"/>
      <c r="AI6" s="35"/>
      <c r="AJ6" s="35"/>
      <c r="AK6" s="35"/>
      <c r="AL6" s="35"/>
    </row>
    <row r="7" spans="1:38" ht="15.75" customHeight="1">
      <c r="A7" s="100"/>
      <c r="B7" s="41" t="s">
        <v>18</v>
      </c>
      <c r="C7" s="32" t="s">
        <v>19</v>
      </c>
      <c r="D7" s="31" t="s">
        <v>7</v>
      </c>
      <c r="E7" s="42">
        <v>44523</v>
      </c>
      <c r="F7" s="102" t="s">
        <v>8</v>
      </c>
      <c r="G7" s="44"/>
      <c r="H7" s="45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</row>
    <row r="8" spans="1:38" ht="12.75">
      <c r="A8" s="104"/>
      <c r="B8" s="104"/>
      <c r="C8" s="104"/>
      <c r="D8" s="104"/>
      <c r="E8" s="104"/>
      <c r="F8" s="104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</row>
    <row r="9" spans="1:38" ht="12.7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</row>
    <row r="10" spans="1:38" ht="12.7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 ht="12.7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</row>
    <row r="12" spans="1:38" ht="12.7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</row>
    <row r="13" spans="1:38" ht="12.7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</row>
    <row r="14" spans="1:38" ht="12.7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</row>
    <row r="15" spans="1:38" ht="12.7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</row>
    <row r="16" spans="1:38" ht="12.7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</row>
    <row r="17" spans="1:38" ht="12.7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</row>
    <row r="18" spans="1:38" ht="12.7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</row>
    <row r="19" spans="1:38" ht="12.7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</row>
    <row r="20" spans="1:38" ht="12.7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</row>
    <row r="21" spans="1:38" ht="12.7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</row>
    <row r="22" spans="1:38" ht="12.7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</row>
    <row r="23" spans="1:38" ht="12.7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</row>
    <row r="24" spans="1:38" ht="12.7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</row>
    <row r="25" spans="1:38" ht="12.7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</row>
    <row r="26" spans="1:38" ht="12.7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</row>
    <row r="27" spans="1:38" ht="12.7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</row>
    <row r="28" spans="1:38" ht="12.7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</row>
    <row r="29" spans="1:38" ht="12.7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</row>
    <row r="30" spans="1:38" ht="12.7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</row>
    <row r="31" spans="1:38" ht="12.7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</row>
    <row r="32" spans="1:38" ht="12.7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</row>
    <row r="33" spans="1:38" ht="12.7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</row>
    <row r="34" spans="1:38" ht="12.7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</row>
    <row r="35" spans="1:38" ht="12.7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</row>
    <row r="36" spans="1:38" ht="12.7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</row>
    <row r="37" spans="1:38" ht="12.7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</row>
    <row r="38" spans="1:38" ht="12.7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</row>
    <row r="39" spans="1:38" ht="12.7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</row>
    <row r="40" spans="1:38" ht="12.7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</row>
    <row r="41" spans="1:38" ht="12.7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</row>
    <row r="42" spans="1:38" ht="12.7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</row>
    <row r="43" spans="1:38" ht="12.7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</row>
    <row r="44" spans="1:38" ht="12.7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</row>
    <row r="45" spans="1:38" ht="12.7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</row>
    <row r="46" spans="1:38" ht="12.7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</row>
    <row r="47" spans="1:38" ht="12.7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</row>
    <row r="48" spans="1:38" ht="12.7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</row>
    <row r="49" spans="1:38" ht="12.7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</row>
    <row r="50" spans="1:38" ht="12.7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</row>
    <row r="51" spans="1:38" ht="12.7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</row>
    <row r="52" spans="1:38" ht="12.7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</row>
    <row r="53" spans="1:38" ht="12.7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</row>
    <row r="54" spans="1:38" ht="12.7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</row>
    <row r="55" spans="1:38" ht="12.7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</row>
    <row r="56" spans="1:38" ht="12.7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</row>
    <row r="57" spans="1:38" ht="12.7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</row>
    <row r="58" spans="1:38" ht="12.7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</row>
    <row r="59" spans="1:38" ht="12.7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</row>
    <row r="60" spans="1:38" ht="12.7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</row>
    <row r="61" spans="1:38" ht="12.7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</row>
    <row r="62" spans="1:38" ht="12.7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</row>
    <row r="63" spans="1:38" ht="12.7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</row>
    <row r="64" spans="1:38" ht="12.7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</row>
    <row r="65" spans="1:38" ht="12.7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</row>
    <row r="66" spans="1:38" ht="12.7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</row>
    <row r="67" spans="1:38" ht="12.7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</row>
    <row r="68" spans="1:38" ht="12.7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</row>
    <row r="69" spans="1:38" ht="12.7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</row>
    <row r="70" spans="1:38" ht="12.7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</row>
    <row r="71" spans="1:38" ht="12.7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</row>
    <row r="72" spans="1:38" ht="12.7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</row>
    <row r="73" spans="1:38" ht="12.7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</row>
    <row r="74" spans="1:38" ht="12.7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</row>
    <row r="75" spans="1:38" ht="12.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</row>
    <row r="76" spans="1:38" ht="12.7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</row>
    <row r="77" spans="1:38" ht="12.7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</row>
    <row r="78" spans="1:38" ht="12.7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</row>
    <row r="79" spans="1:38" ht="12.7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</row>
    <row r="80" spans="1:38" ht="12.7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</row>
    <row r="81" spans="1:38" ht="12.7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</row>
    <row r="82" spans="1:38" ht="12.7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</row>
    <row r="83" spans="1:38" ht="12.7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</row>
    <row r="84" spans="1:38" ht="12.7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</row>
    <row r="85" spans="1:38" ht="12.7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</row>
    <row r="86" spans="1:38" ht="12.7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</row>
    <row r="87" spans="1:38" ht="12.7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</row>
    <row r="88" spans="1:38" ht="12.7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</row>
    <row r="89" spans="1:38" ht="12.7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</row>
    <row r="90" spans="1:38" ht="12.7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</row>
    <row r="91" spans="1:38" ht="12.7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</row>
    <row r="92" spans="1:38" ht="12.7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</row>
    <row r="93" spans="1:38" ht="12.7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</row>
    <row r="94" spans="1:38" ht="12.7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</row>
    <row r="95" spans="1:38" ht="12.7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</row>
    <row r="96" spans="1:38" ht="12.7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</row>
    <row r="97" spans="1:38" ht="12.7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</row>
    <row r="98" spans="1:38" ht="12.7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</row>
    <row r="99" spans="1:38" ht="12.7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</row>
    <row r="100" spans="1:38" ht="12.7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</row>
    <row r="101" spans="1:38" ht="12.7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</row>
    <row r="102" spans="1:38" ht="12.7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</row>
    <row r="103" spans="1:38" ht="12.7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</row>
    <row r="104" spans="1:38" ht="12.7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</row>
    <row r="105" spans="1:38" ht="12.7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</row>
    <row r="106" spans="1:38" ht="12.7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</row>
    <row r="107" spans="1:38" ht="12.7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</row>
    <row r="108" spans="1:38" ht="12.7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</row>
    <row r="109" spans="1:38" ht="12.7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</row>
    <row r="110" spans="1:38" ht="12.7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</row>
    <row r="111" spans="1:38" ht="12.7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</row>
    <row r="112" spans="1:38" ht="12.7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</row>
    <row r="113" spans="1:38" ht="12.7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</row>
    <row r="114" spans="1:38" ht="12.7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</row>
    <row r="115" spans="1:38" ht="12.7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</row>
    <row r="116" spans="1:38" ht="12.7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</row>
    <row r="117" spans="1:38" ht="12.7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</row>
    <row r="118" spans="1:38" ht="12.7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</row>
    <row r="119" spans="1:38" ht="12.7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</row>
    <row r="120" spans="1:38" ht="12.7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</row>
    <row r="121" spans="1:38" ht="12.7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</row>
    <row r="122" spans="1:38" ht="12.7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</row>
    <row r="123" spans="1:38" ht="12.7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</row>
    <row r="124" spans="1:38" ht="12.7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</row>
    <row r="125" spans="1:38" ht="12.7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</row>
    <row r="126" spans="1:38" ht="12.7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</row>
    <row r="127" spans="1:38" ht="12.7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</row>
    <row r="128" spans="1:38" ht="12.7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</row>
    <row r="129" spans="1:38" ht="12.7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</row>
    <row r="130" spans="1:38" ht="12.7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</row>
    <row r="131" spans="1:38" ht="12.7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</row>
    <row r="132" spans="1:38" ht="12.7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</row>
    <row r="133" spans="1:38" ht="12.7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</row>
    <row r="134" spans="1:38" ht="12.7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</row>
    <row r="135" spans="1:38" ht="12.7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</row>
    <row r="136" spans="1:38" ht="12.7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</row>
    <row r="137" spans="1:38" ht="12.7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</row>
    <row r="138" spans="1:38" ht="12.7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</row>
    <row r="139" spans="1:38" ht="12.7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</row>
    <row r="140" spans="1:38" ht="12.7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</row>
    <row r="141" spans="1:38" ht="12.75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</row>
    <row r="142" spans="1:38" ht="12.75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</row>
    <row r="143" spans="1:38" ht="12.7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</row>
    <row r="144" spans="1:38" ht="12.75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</row>
    <row r="145" spans="1:38" ht="12.7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</row>
    <row r="146" spans="1:38" ht="12.7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</row>
    <row r="147" spans="1:38" ht="12.75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</row>
    <row r="148" spans="1:38" ht="12.7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</row>
    <row r="149" spans="1:38" ht="12.7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</row>
    <row r="150" spans="1:38" ht="12.7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</row>
    <row r="151" spans="1:38" ht="12.7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</row>
    <row r="152" spans="1:38" ht="12.7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</row>
    <row r="153" spans="1:38" ht="12.7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</row>
    <row r="154" spans="1:38" ht="12.7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</row>
    <row r="155" spans="1:38" ht="12.7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</row>
    <row r="156" spans="1:38" ht="12.75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</row>
    <row r="157" spans="1:38" ht="12.75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</row>
    <row r="158" spans="1:38" ht="12.75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</row>
    <row r="159" spans="1:38" ht="12.75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</row>
    <row r="160" spans="1:38" ht="12.75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</row>
    <row r="161" spans="1:38" ht="12.75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</row>
    <row r="162" spans="1:38" ht="12.75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</row>
    <row r="163" spans="1:38" ht="12.75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</row>
    <row r="164" spans="1:38" ht="12.75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</row>
    <row r="165" spans="1:38" ht="12.7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</row>
    <row r="166" spans="1:38" ht="12.75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</row>
    <row r="167" spans="1:38" ht="12.7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</row>
    <row r="168" spans="1:38" ht="12.75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</row>
    <row r="169" spans="1:38" ht="12.75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</row>
    <row r="170" spans="1:38" ht="12.75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</row>
    <row r="171" spans="1:38" ht="12.75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</row>
    <row r="172" spans="1:38" ht="12.75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</row>
    <row r="173" spans="1:38" ht="12.75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</row>
    <row r="174" spans="1:38" ht="12.75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</row>
    <row r="175" spans="1:38" ht="12.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</row>
    <row r="176" spans="1:38" ht="12.75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</row>
    <row r="177" spans="1:38" ht="12.75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</row>
    <row r="178" spans="1:38" ht="12.75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</row>
    <row r="179" spans="1:38" ht="12.75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</row>
    <row r="180" spans="1:38" ht="12.75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</row>
    <row r="181" spans="1:38" ht="12.75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</row>
    <row r="182" spans="1:38" ht="12.75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</row>
    <row r="183" spans="1:38" ht="12.75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</row>
    <row r="184" spans="1:38" ht="12.75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</row>
    <row r="185" spans="1:38" ht="12.7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</row>
    <row r="186" spans="1:38" ht="12.75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</row>
    <row r="187" spans="1:38" ht="12.75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</row>
    <row r="188" spans="1:38" ht="12.75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</row>
    <row r="189" spans="1:38" ht="12.7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</row>
    <row r="190" spans="1:38" ht="12.75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</row>
    <row r="191" spans="1:38" ht="12.75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</row>
    <row r="192" spans="1:38" ht="12.75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</row>
    <row r="193" spans="1:38" ht="12.75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</row>
    <row r="194" spans="1:38" ht="12.75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</row>
    <row r="195" spans="1:38" ht="12.7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</row>
    <row r="196" spans="1:38" ht="12.75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</row>
    <row r="197" spans="1:38" ht="12.75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</row>
    <row r="198" spans="1:38" ht="12.75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</row>
    <row r="199" spans="1:38" ht="12.7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</row>
    <row r="200" spans="1:38" ht="12.75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</row>
    <row r="201" spans="1:38" ht="12.75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</row>
    <row r="202" spans="1:38" ht="12.75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</row>
    <row r="203" spans="1:38" ht="12.75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</row>
    <row r="204" spans="1:38" ht="12.75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</row>
    <row r="205" spans="1:38" ht="12.7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</row>
    <row r="206" spans="1:38" ht="12.75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</row>
    <row r="207" spans="1:38" ht="12.75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</row>
    <row r="208" spans="1:38" ht="12.75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</row>
    <row r="209" spans="1:38" ht="12.75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</row>
    <row r="210" spans="1:38" ht="12.75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</row>
    <row r="211" spans="1:38" ht="12.7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</row>
    <row r="212" spans="1:38" ht="12.75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</row>
    <row r="213" spans="1:38" ht="12.75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</row>
    <row r="214" spans="1:38" ht="12.75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</row>
    <row r="215" spans="1:38" ht="12.7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</row>
    <row r="216" spans="1:38" ht="12.75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</row>
    <row r="217" spans="1:38" ht="12.75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</row>
    <row r="218" spans="1:38" ht="12.75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</row>
    <row r="219" spans="1:38" ht="12.75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</row>
    <row r="220" spans="1:38" ht="12.75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</row>
    <row r="221" spans="1:38" ht="12.7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</row>
    <row r="222" spans="1:38" ht="12.7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</row>
    <row r="223" spans="1:38" ht="12.7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</row>
    <row r="224" spans="1:38" ht="12.7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</row>
    <row r="225" spans="1:38" ht="12.7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</row>
    <row r="226" spans="1:38" ht="12.7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</row>
    <row r="227" spans="1:38" ht="12.7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</row>
    <row r="228" spans="1:38" ht="12.7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</row>
    <row r="229" spans="1:38" ht="12.7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</row>
    <row r="230" spans="1:38" ht="12.7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</row>
    <row r="231" spans="1:38" ht="12.7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</row>
    <row r="232" spans="1:38" ht="12.7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</row>
    <row r="233" spans="1:38" ht="12.7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</row>
    <row r="234" spans="1:38" ht="12.7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</row>
    <row r="235" spans="1:38" ht="12.7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</row>
    <row r="236" spans="1:38" ht="12.7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</row>
    <row r="237" spans="1:38" ht="12.7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</row>
    <row r="238" spans="1:38" ht="12.7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</row>
    <row r="239" spans="1:38" ht="12.7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</row>
    <row r="240" spans="1:38" ht="12.7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</row>
    <row r="241" spans="1:38" ht="12.7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</row>
    <row r="242" spans="1:38" ht="12.7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</row>
    <row r="243" spans="1:38" ht="12.7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</row>
    <row r="244" spans="1:38" ht="12.7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</row>
    <row r="245" spans="1:38" ht="12.7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</row>
    <row r="246" spans="1:38" ht="12.7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</row>
    <row r="247" spans="1:38" ht="12.7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</row>
    <row r="248" spans="1:38" ht="12.7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</row>
    <row r="249" spans="1:38" ht="12.7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</row>
    <row r="250" spans="1:38" ht="12.7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</row>
    <row r="251" spans="1:38" ht="12.7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</row>
    <row r="252" spans="1:38" ht="12.7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</row>
    <row r="253" spans="1:38" ht="12.7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</row>
    <row r="254" spans="1:38" ht="12.7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</row>
    <row r="255" spans="1:38" ht="12.7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</row>
    <row r="256" spans="1:38" ht="12.7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</row>
    <row r="257" spans="1:38" ht="12.7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</row>
    <row r="258" spans="1:38" ht="12.7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</row>
    <row r="259" spans="1:38" ht="12.7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</row>
    <row r="260" spans="1:38" ht="12.7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</row>
    <row r="261" spans="1:38" ht="12.7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</row>
    <row r="262" spans="1:38" ht="12.7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</row>
    <row r="263" spans="1:38" ht="12.7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</row>
    <row r="264" spans="1:38" ht="12.7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</row>
    <row r="265" spans="1:38" ht="12.7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</row>
    <row r="266" spans="1:38" ht="12.7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</row>
    <row r="267" spans="1:38" ht="12.7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</row>
    <row r="268" spans="1:38" ht="12.7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</row>
    <row r="269" spans="1:38" ht="12.7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</row>
    <row r="270" spans="1:38" ht="12.7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</row>
    <row r="271" spans="1:38" ht="12.7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</row>
    <row r="272" spans="1:38" ht="12.7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</row>
    <row r="273" spans="1:38" ht="12.7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</row>
    <row r="274" spans="1:38" ht="12.7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</row>
    <row r="275" spans="1:38" ht="12.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</row>
    <row r="276" spans="1:38" ht="12.7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</row>
    <row r="277" spans="1:38" ht="12.7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</row>
    <row r="278" spans="1:38" ht="12.7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</row>
    <row r="279" spans="1:38" ht="12.7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</row>
    <row r="280" spans="1:38" ht="12.7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</row>
    <row r="281" spans="1:38" ht="12.7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</row>
    <row r="282" spans="1:38" ht="12.7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</row>
    <row r="283" spans="1:38" ht="12.7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</row>
    <row r="284" spans="1:38" ht="12.7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</row>
    <row r="285" spans="1:38" ht="12.7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</row>
    <row r="286" spans="1:38" ht="12.7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</row>
    <row r="287" spans="1:38" ht="12.7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</row>
    <row r="288" spans="1:38" ht="12.7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</row>
    <row r="289" spans="1:38" ht="12.7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</row>
    <row r="290" spans="1:38" ht="12.7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</row>
    <row r="291" spans="1:38" ht="12.7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</row>
    <row r="292" spans="1:38" ht="12.7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</row>
    <row r="293" spans="1:38" ht="12.7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</row>
    <row r="294" spans="1:38" ht="12.7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</row>
    <row r="295" spans="1:38" ht="12.7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</row>
    <row r="296" spans="1:38" ht="12.7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</row>
    <row r="297" spans="1:38" ht="12.7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</row>
    <row r="298" spans="1:38" ht="12.7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</row>
    <row r="299" spans="1:38" ht="12.7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</row>
    <row r="300" spans="1:38" ht="12.7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</row>
    <row r="301" spans="1:38" ht="12.7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</row>
    <row r="302" spans="1:38" ht="12.7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</row>
    <row r="303" spans="1:38" ht="12.7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</row>
    <row r="304" spans="1:38" ht="12.7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</row>
    <row r="305" spans="1:38" ht="12.7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</row>
    <row r="306" spans="1:38" ht="12.7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</row>
    <row r="307" spans="1:38" ht="12.7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</row>
    <row r="308" spans="1:38" ht="12.7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</row>
    <row r="309" spans="1:38" ht="12.7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</row>
    <row r="310" spans="1:38" ht="12.7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</row>
    <row r="311" spans="1:38" ht="12.7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</row>
    <row r="312" spans="1:38" ht="12.7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</row>
    <row r="313" spans="1:38" ht="12.7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</row>
    <row r="314" spans="1:38" ht="12.7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</row>
    <row r="315" spans="1:38" ht="12.7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</row>
    <row r="316" spans="1:38" ht="12.7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</row>
    <row r="317" spans="1:38" ht="12.7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</row>
    <row r="318" spans="1:38" ht="12.7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</row>
    <row r="319" spans="1:38" ht="12.7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</row>
    <row r="320" spans="1:38" ht="12.7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</row>
    <row r="321" spans="1:38" ht="12.7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</row>
    <row r="322" spans="1:38" ht="12.7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</row>
    <row r="323" spans="1:38" ht="12.7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</row>
    <row r="324" spans="1:38" ht="12.7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</row>
    <row r="325" spans="1:38" ht="12.7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</row>
    <row r="326" spans="1:38" ht="12.7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</row>
    <row r="327" spans="1:38" ht="12.7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</row>
    <row r="328" spans="1:38" ht="12.7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</row>
    <row r="329" spans="1:38" ht="12.7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</row>
    <row r="330" spans="1:38" ht="12.7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</row>
    <row r="331" spans="1:38" ht="12.7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</row>
    <row r="332" spans="1:38" ht="12.7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</row>
    <row r="333" spans="1:38" ht="12.7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</row>
    <row r="334" spans="1:38" ht="12.7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</row>
    <row r="335" spans="1:38" ht="12.7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</row>
    <row r="336" spans="1:38" ht="12.7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</row>
    <row r="337" spans="1:38" ht="12.7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</row>
    <row r="338" spans="1:38" ht="12.7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</row>
    <row r="339" spans="1:38" ht="12.7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</row>
    <row r="340" spans="1:38" ht="12.7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</row>
    <row r="341" spans="1:38" ht="12.7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</row>
    <row r="342" spans="1:38" ht="12.7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</row>
    <row r="343" spans="1:38" ht="12.7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</row>
    <row r="344" spans="1:38" ht="12.7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</row>
    <row r="345" spans="1:38" ht="12.7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</row>
    <row r="346" spans="1:38" ht="12.7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</row>
    <row r="347" spans="1:38" ht="12.7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</row>
    <row r="348" spans="1:38" ht="12.7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</row>
    <row r="349" spans="1:38" ht="12.7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</row>
    <row r="350" spans="1:38" ht="12.7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</row>
    <row r="351" spans="1:38" ht="12.7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</row>
    <row r="352" spans="1:38" ht="12.7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</row>
    <row r="353" spans="1:38" ht="12.7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</row>
    <row r="354" spans="1:38" ht="12.7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</row>
    <row r="355" spans="1:38" ht="12.7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</row>
    <row r="356" spans="1:38" ht="12.7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</row>
    <row r="357" spans="1:38" ht="12.7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</row>
    <row r="358" spans="1:38" ht="12.7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</row>
    <row r="359" spans="1:38" ht="12.7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</row>
    <row r="360" spans="1:38" ht="12.7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</row>
    <row r="361" spans="1:38" ht="12.7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</row>
    <row r="362" spans="1:38" ht="12.7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</row>
    <row r="363" spans="1:38" ht="12.7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</row>
    <row r="364" spans="1:38" ht="12.7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</row>
    <row r="365" spans="1:38" ht="12.7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</row>
    <row r="366" spans="1:38" ht="12.7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</row>
    <row r="367" spans="1:38" ht="12.7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</row>
    <row r="368" spans="1:38" ht="12.7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</row>
    <row r="369" spans="1:38" ht="12.7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</row>
    <row r="370" spans="1:38" ht="12.7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</row>
    <row r="371" spans="1:38" ht="12.7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</row>
    <row r="372" spans="1:38" ht="12.7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</row>
    <row r="373" spans="1:38" ht="12.7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</row>
    <row r="374" spans="1:38" ht="12.7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</row>
    <row r="375" spans="1:38" ht="12.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</row>
    <row r="376" spans="1:38" ht="12.7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</row>
    <row r="377" spans="1:38" ht="12.7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</row>
    <row r="378" spans="1:38" ht="12.7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</row>
    <row r="379" spans="1:38" ht="12.7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</row>
    <row r="380" spans="1:38" ht="12.7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</row>
    <row r="381" spans="1:38" ht="12.7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</row>
    <row r="382" spans="1:38" ht="12.7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</row>
    <row r="383" spans="1:38" ht="12.7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</row>
    <row r="384" spans="1:38" ht="12.7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</row>
    <row r="385" spans="1:38" ht="12.7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</row>
    <row r="386" spans="1:38" ht="12.7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</row>
    <row r="387" spans="1:38" ht="12.7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</row>
    <row r="388" spans="1:38" ht="12.7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</row>
    <row r="389" spans="1:38" ht="12.7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</row>
    <row r="390" spans="1:38" ht="12.7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</row>
    <row r="391" spans="1:38" ht="12.7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</row>
    <row r="392" spans="1:38" ht="12.7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</row>
    <row r="393" spans="1:38" ht="12.7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</row>
    <row r="394" spans="1:38" ht="12.7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</row>
    <row r="395" spans="1:38" ht="12.7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</row>
    <row r="396" spans="1:38" ht="12.7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</row>
    <row r="397" spans="1:38" ht="12.7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</row>
    <row r="398" spans="1:38" ht="12.7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</row>
    <row r="399" spans="1:38" ht="12.7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</row>
    <row r="400" spans="1:38" ht="12.7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</row>
    <row r="401" spans="1:38" ht="12.7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</row>
    <row r="402" spans="1:38" ht="12.7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</row>
    <row r="403" spans="1:38" ht="12.7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</row>
    <row r="404" spans="1:38" ht="12.7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</row>
    <row r="405" spans="1:38" ht="12.7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</row>
    <row r="406" spans="1:38" ht="12.7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</row>
    <row r="407" spans="1:38" ht="12.7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</row>
    <row r="408" spans="1:38" ht="12.7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</row>
    <row r="409" spans="1:38" ht="12.7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</row>
    <row r="410" spans="1:38" ht="12.7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</row>
    <row r="411" spans="1:38" ht="12.7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</row>
    <row r="412" spans="1:38" ht="12.7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</row>
    <row r="413" spans="1:38" ht="12.7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</row>
    <row r="414" spans="1:38" ht="12.7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</row>
    <row r="415" spans="1:38" ht="12.7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</row>
    <row r="416" spans="1:38" ht="12.7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</row>
    <row r="417" spans="1:38" ht="12.7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</row>
    <row r="418" spans="1:38" ht="12.7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</row>
    <row r="419" spans="1:38" ht="12.7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</row>
    <row r="420" spans="1:38" ht="12.7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</row>
    <row r="421" spans="1:38" ht="12.7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</row>
    <row r="422" spans="1:38" ht="12.7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</row>
    <row r="423" spans="1:38" ht="12.7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</row>
    <row r="424" spans="1:38" ht="12.7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</row>
    <row r="425" spans="1:38" ht="12.7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</row>
    <row r="426" spans="1:38" ht="12.7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</row>
    <row r="427" spans="1:38" ht="12.7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</row>
    <row r="428" spans="1:38" ht="12.7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</row>
    <row r="429" spans="1:38" ht="12.7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</row>
    <row r="430" spans="1:38" ht="12.7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</row>
    <row r="431" spans="1:38" ht="12.7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</row>
    <row r="432" spans="1:38" ht="12.7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</row>
    <row r="433" spans="1:38" ht="12.7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</row>
    <row r="434" spans="1:38" ht="12.7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</row>
    <row r="435" spans="1:38" ht="12.7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</row>
    <row r="436" spans="1:38" ht="12.7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</row>
    <row r="437" spans="1:38" ht="12.7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</row>
    <row r="438" spans="1:38" ht="12.7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</row>
    <row r="439" spans="1:38" ht="12.7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</row>
    <row r="440" spans="1:38" ht="12.7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</row>
    <row r="441" spans="1:38" ht="12.7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</row>
    <row r="442" spans="1:38" ht="12.7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</row>
    <row r="443" spans="1:38" ht="12.7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</row>
    <row r="444" spans="1:38" ht="12.7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</row>
    <row r="445" spans="1:38" ht="12.7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</row>
    <row r="446" spans="1:38" ht="12.7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</row>
    <row r="447" spans="1:38" ht="12.7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</row>
    <row r="448" spans="1:38" ht="12.7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</row>
    <row r="449" spans="1:38" ht="12.7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</row>
    <row r="450" spans="1:38" ht="12.7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</row>
    <row r="451" spans="1:38" ht="12.7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</row>
    <row r="452" spans="1:38" ht="12.7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</row>
    <row r="453" spans="1:38" ht="12.7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</row>
    <row r="454" spans="1:38" ht="12.7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</row>
    <row r="455" spans="1:38" ht="12.7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</row>
    <row r="456" spans="1:38" ht="12.7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</row>
    <row r="457" spans="1:38" ht="12.7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</row>
    <row r="458" spans="1:38" ht="12.7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</row>
    <row r="459" spans="1:38" ht="12.7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</row>
    <row r="460" spans="1:38" ht="12.7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</row>
    <row r="461" spans="1:38" ht="12.7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</row>
    <row r="462" spans="1:38" ht="12.7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</row>
    <row r="463" spans="1:38" ht="12.7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</row>
    <row r="464" spans="1:38" ht="12.7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</row>
    <row r="465" spans="1:38" ht="12.7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</row>
    <row r="466" spans="1:38" ht="12.7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</row>
    <row r="467" spans="1:38" ht="12.7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</row>
    <row r="468" spans="1:38" ht="12.7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</row>
    <row r="469" spans="1:38" ht="12.7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</row>
    <row r="470" spans="1:38" ht="12.7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</row>
    <row r="471" spans="1:38" ht="12.7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</row>
    <row r="472" spans="1:38" ht="12.7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</row>
    <row r="473" spans="1:38" ht="12.7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</row>
    <row r="474" spans="1:38" ht="12.7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</row>
    <row r="475" spans="1:38" ht="12.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</row>
    <row r="476" spans="1:38" ht="12.7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</row>
    <row r="477" spans="1:38" ht="12.7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</row>
    <row r="478" spans="1:38" ht="12.7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</row>
    <row r="479" spans="1:38" ht="12.7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</row>
    <row r="480" spans="1:38" ht="12.7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</row>
    <row r="481" spans="1:38" ht="12.7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</row>
    <row r="482" spans="1:38" ht="12.7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</row>
    <row r="483" spans="1:38" ht="12.7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</row>
    <row r="484" spans="1:38" ht="12.7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</row>
    <row r="485" spans="1:38" ht="12.7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</row>
    <row r="486" spans="1:38" ht="12.7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</row>
    <row r="487" spans="1:38" ht="12.7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</row>
    <row r="488" spans="1:38" ht="12.7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</row>
    <row r="489" spans="1:38" ht="12.7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</row>
    <row r="490" spans="1:38" ht="12.7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</row>
    <row r="491" spans="1:38" ht="12.7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</row>
    <row r="492" spans="1:38" ht="12.7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</row>
    <row r="493" spans="1:38" ht="12.7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</row>
    <row r="494" spans="1:38" ht="12.7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</row>
    <row r="495" spans="1:38" ht="12.7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</row>
    <row r="496" spans="1:38" ht="12.7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</row>
    <row r="497" spans="1:38" ht="12.7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</row>
    <row r="498" spans="1:38" ht="12.7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</row>
    <row r="499" spans="1:38" ht="12.7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</row>
    <row r="500" spans="1:38" ht="12.7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</row>
    <row r="501" spans="1:38" ht="12.7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</row>
    <row r="502" spans="1:38" ht="12.7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</row>
    <row r="503" spans="1:38" ht="12.7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</row>
    <row r="504" spans="1:38" ht="12.7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</row>
    <row r="505" spans="1:38" ht="12.7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</row>
    <row r="506" spans="1:38" ht="12.7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</row>
    <row r="507" spans="1:38" ht="12.7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</row>
    <row r="508" spans="1:38" ht="12.7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</row>
    <row r="509" spans="1:38" ht="12.7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</row>
    <row r="510" spans="1:38" ht="12.7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</row>
    <row r="511" spans="1:38" ht="12.7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</row>
    <row r="512" spans="1:38" ht="12.7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</row>
    <row r="513" spans="1:38" ht="12.7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</row>
    <row r="514" spans="1:38" ht="12.7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</row>
    <row r="515" spans="1:38" ht="12.7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</row>
    <row r="516" spans="1:38" ht="12.7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</row>
    <row r="517" spans="1:38" ht="12.7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</row>
    <row r="518" spans="1:38" ht="12.7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</row>
    <row r="519" spans="1:38" ht="12.7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</row>
    <row r="520" spans="1:38" ht="12.7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</row>
    <row r="521" spans="1:38" ht="12.7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</row>
    <row r="522" spans="1:38" ht="12.7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</row>
    <row r="523" spans="1:38" ht="12.7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</row>
    <row r="524" spans="1:38" ht="12.7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</row>
    <row r="525" spans="1:38" ht="12.7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</row>
    <row r="526" spans="1:38" ht="12.7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</row>
    <row r="527" spans="1:38" ht="12.7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</row>
    <row r="528" spans="1:38" ht="12.7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</row>
    <row r="529" spans="1:38" ht="12.7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</row>
    <row r="530" spans="1:38" ht="12.7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</row>
    <row r="531" spans="1:38" ht="12.7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</row>
    <row r="532" spans="1:38" ht="12.7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</row>
    <row r="533" spans="1:38" ht="12.7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</row>
    <row r="534" spans="1:38" ht="12.7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</row>
    <row r="535" spans="1:38" ht="12.7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</row>
    <row r="536" spans="1:38" ht="12.7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</row>
    <row r="537" spans="1:38" ht="12.7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</row>
    <row r="538" spans="1:38" ht="12.7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</row>
    <row r="539" spans="1:38" ht="12.7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</row>
    <row r="540" spans="1:38" ht="12.7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</row>
    <row r="541" spans="1:38" ht="12.7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</row>
    <row r="542" spans="1:38" ht="12.7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</row>
    <row r="543" spans="1:38" ht="12.7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</row>
    <row r="544" spans="1:38" ht="12.7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</row>
    <row r="545" spans="1:38" ht="12.7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</row>
    <row r="546" spans="1:38" ht="12.7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</row>
    <row r="547" spans="1:38" ht="12.7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</row>
    <row r="548" spans="1:38" ht="12.7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</row>
    <row r="549" spans="1:38" ht="12.7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</row>
    <row r="550" spans="1:38" ht="12.7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</row>
    <row r="551" spans="1:38" ht="12.7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</row>
    <row r="552" spans="1:38" ht="12.7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</row>
    <row r="553" spans="1:38" ht="12.7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</row>
    <row r="554" spans="1:38" ht="12.7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</row>
    <row r="555" spans="1:38" ht="12.7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</row>
    <row r="556" spans="1:38" ht="12.7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</row>
    <row r="557" spans="1:38" ht="12.7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</row>
    <row r="558" spans="1:38" ht="12.7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</row>
    <row r="559" spans="1:38" ht="12.7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</row>
    <row r="560" spans="1:38" ht="12.7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</row>
    <row r="561" spans="1:38" ht="12.7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</row>
    <row r="562" spans="1:38" ht="12.7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</row>
    <row r="563" spans="1:38" ht="12.7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</row>
    <row r="564" spans="1:38" ht="12.7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</row>
    <row r="565" spans="1:38" ht="12.7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</row>
    <row r="566" spans="1:38" ht="12.7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</row>
    <row r="567" spans="1:38" ht="12.7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</row>
    <row r="568" spans="1:38" ht="12.7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</row>
    <row r="569" spans="1:38" ht="12.7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</row>
    <row r="570" spans="1:38" ht="12.7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</row>
    <row r="571" spans="1:38" ht="12.7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</row>
    <row r="572" spans="1:38" ht="12.7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</row>
    <row r="573" spans="1:38" ht="12.7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</row>
    <row r="574" spans="1:38" ht="12.7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</row>
    <row r="575" spans="1:38" ht="12.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</row>
    <row r="576" spans="1:38" ht="12.7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</row>
    <row r="577" spans="1:38" ht="12.7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</row>
    <row r="578" spans="1:38" ht="12.7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</row>
    <row r="579" spans="1:38" ht="12.7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</row>
    <row r="580" spans="1:38" ht="12.7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</row>
    <row r="581" spans="1:38" ht="12.7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</row>
    <row r="582" spans="1:38" ht="12.7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</row>
    <row r="583" spans="1:38" ht="12.7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</row>
    <row r="584" spans="1:38" ht="12.7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</row>
    <row r="585" spans="1:38" ht="12.7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</row>
    <row r="586" spans="1:38" ht="12.7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</row>
    <row r="587" spans="1:38" ht="12.7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</row>
    <row r="588" spans="1:38" ht="12.7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</row>
    <row r="589" spans="1:38" ht="12.7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</row>
    <row r="590" spans="1:38" ht="12.7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</row>
    <row r="591" spans="1:38" ht="12.7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</row>
    <row r="592" spans="1:38" ht="12.7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</row>
    <row r="593" spans="1:38" ht="12.7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</row>
    <row r="594" spans="1:38" ht="12.7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</row>
    <row r="595" spans="1:38" ht="12.7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</row>
    <row r="596" spans="1:38" ht="12.7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</row>
    <row r="597" spans="1:38" ht="12.7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</row>
    <row r="598" spans="1:38" ht="12.7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</row>
    <row r="599" spans="1:38" ht="12.7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</row>
    <row r="600" spans="1:38" ht="12.7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</row>
    <row r="601" spans="1:38" ht="12.7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</row>
    <row r="602" spans="1:38" ht="12.7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</row>
    <row r="603" spans="1:38" ht="12.7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</row>
    <row r="604" spans="1:38" ht="12.7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</row>
    <row r="605" spans="1:38" ht="12.7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</row>
    <row r="606" spans="1:38" ht="12.7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</row>
    <row r="607" spans="1:38" ht="12.7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</row>
    <row r="608" spans="1:38" ht="12.7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</row>
    <row r="609" spans="1:38" ht="12.7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</row>
    <row r="610" spans="1:38" ht="12.7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</row>
    <row r="611" spans="1:38" ht="12.7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</row>
    <row r="612" spans="1:38" ht="12.7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</row>
    <row r="613" spans="1:38" ht="12.7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</row>
    <row r="614" spans="1:38" ht="12.7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</row>
    <row r="615" spans="1:38" ht="12.7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</row>
    <row r="616" spans="1:38" ht="12.7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</row>
    <row r="617" spans="1:38" ht="12.7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</row>
    <row r="618" spans="1:38" ht="12.7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</row>
    <row r="619" spans="1:38" ht="12.7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</row>
    <row r="620" spans="1:38" ht="12.7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</row>
    <row r="621" spans="1:38" ht="12.7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</row>
    <row r="622" spans="1:38" ht="12.7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</row>
    <row r="623" spans="1:38" ht="12.7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</row>
    <row r="624" spans="1:38" ht="12.7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</row>
    <row r="625" spans="1:38" ht="12.7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</row>
    <row r="626" spans="1:38" ht="12.7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</row>
    <row r="627" spans="1:38" ht="12.7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</row>
    <row r="628" spans="1:38" ht="12.7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</row>
    <row r="629" spans="1:38" ht="12.7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</row>
    <row r="630" spans="1:38" ht="12.7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</row>
    <row r="631" spans="1:38" ht="12.7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</row>
    <row r="632" spans="1:38" ht="12.7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</row>
    <row r="633" spans="1:38" ht="12.7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</row>
    <row r="634" spans="1:38" ht="12.7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</row>
    <row r="635" spans="1:38" ht="12.7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</row>
    <row r="636" spans="1:38" ht="12.7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</row>
    <row r="637" spans="1:38" ht="12.7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</row>
    <row r="638" spans="1:38" ht="12.7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</row>
    <row r="639" spans="1:38" ht="12.7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</row>
    <row r="640" spans="1:38" ht="12.7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</row>
    <row r="641" spans="1:38" ht="12.7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</row>
    <row r="642" spans="1:38" ht="12.7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</row>
    <row r="643" spans="1:38" ht="12.7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</row>
    <row r="644" spans="1:38" ht="12.7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</row>
    <row r="645" spans="1:38" ht="12.7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</row>
    <row r="646" spans="1:38" ht="12.7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</row>
    <row r="647" spans="1:38" ht="12.7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</row>
    <row r="648" spans="1:38" ht="12.7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</row>
    <row r="649" spans="1:38" ht="12.7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</row>
    <row r="650" spans="1:38" ht="12.7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</row>
    <row r="651" spans="1:38" ht="12.7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</row>
    <row r="652" spans="1:38" ht="12.7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</row>
    <row r="653" spans="1:38" ht="12.7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</row>
    <row r="654" spans="1:38" ht="12.7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</row>
    <row r="655" spans="1:38" ht="12.7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</row>
    <row r="656" spans="1:38" ht="12.7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</row>
    <row r="657" spans="1:38" ht="12.7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</row>
    <row r="658" spans="1:38" ht="12.7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</row>
    <row r="659" spans="1:38" ht="12.7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</row>
    <row r="660" spans="1:38" ht="12.7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</row>
    <row r="661" spans="1:38" ht="12.7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</row>
    <row r="662" spans="1:38" ht="12.7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</row>
    <row r="663" spans="1:38" ht="12.7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</row>
    <row r="664" spans="1:38" ht="12.7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</row>
    <row r="665" spans="1:38" ht="12.7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</row>
    <row r="666" spans="1:38" ht="12.7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</row>
    <row r="667" spans="1:38" ht="12.7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</row>
    <row r="668" spans="1:38" ht="12.7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</row>
    <row r="669" spans="1:38" ht="12.7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</row>
    <row r="670" spans="1:38" ht="12.7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</row>
    <row r="671" spans="1:38" ht="12.7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</row>
    <row r="672" spans="1:38" ht="12.7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</row>
    <row r="673" spans="1:38" ht="12.7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</row>
    <row r="674" spans="1:38" ht="12.7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</row>
    <row r="675" spans="1:38" ht="12.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</row>
    <row r="676" spans="1:38" ht="12.7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</row>
    <row r="677" spans="1:38" ht="12.7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</row>
    <row r="678" spans="1:38" ht="12.7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</row>
    <row r="679" spans="1:38" ht="12.7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</row>
    <row r="680" spans="1:38" ht="12.7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</row>
    <row r="681" spans="1:38" ht="12.7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</row>
    <row r="682" spans="1:38" ht="12.7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</row>
    <row r="683" spans="1:38" ht="12.7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</row>
    <row r="684" spans="1:38" ht="12.7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</row>
    <row r="685" spans="1:38" ht="12.7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</row>
    <row r="686" spans="1:38" ht="12.7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</row>
    <row r="687" spans="1:38" ht="12.7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</row>
    <row r="688" spans="1:38" ht="12.7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</row>
    <row r="689" spans="1:38" ht="12.7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</row>
    <row r="690" spans="1:38" ht="12.7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</row>
    <row r="691" spans="1:38" ht="12.7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</row>
    <row r="692" spans="1:38" ht="12.7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</row>
    <row r="693" spans="1:38" ht="12.7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</row>
    <row r="694" spans="1:38" ht="12.7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</row>
    <row r="695" spans="1:38" ht="12.7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</row>
    <row r="696" spans="1:38" ht="12.7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</row>
    <row r="697" spans="1:38" ht="12.7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</row>
    <row r="698" spans="1:38" ht="12.7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</row>
    <row r="699" spans="1:38" ht="12.7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</row>
    <row r="700" spans="1:38" ht="12.7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</row>
    <row r="701" spans="1:38" ht="12.7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</row>
    <row r="702" spans="1:38" ht="12.7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</row>
    <row r="703" spans="1:38" ht="12.7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</row>
    <row r="704" spans="1:38" ht="12.7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</row>
    <row r="705" spans="1:38" ht="12.7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</row>
    <row r="706" spans="1:38" ht="12.7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</row>
    <row r="707" spans="1:38" ht="12.7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</row>
    <row r="708" spans="1:38" ht="12.7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</row>
    <row r="709" spans="1:38" ht="12.7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</row>
    <row r="710" spans="1:38" ht="12.7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</row>
    <row r="711" spans="1:38" ht="12.7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</row>
    <row r="712" spans="1:38" ht="12.7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</row>
    <row r="713" spans="1:38" ht="12.7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</row>
    <row r="714" spans="1:38" ht="12.7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</row>
    <row r="715" spans="1:38" ht="12.7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</row>
    <row r="716" spans="1:38" ht="12.7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</row>
    <row r="717" spans="1:38" ht="12.7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</row>
    <row r="718" spans="1:38" ht="12.7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</row>
    <row r="719" spans="1:38" ht="12.7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</row>
    <row r="720" spans="1:38" ht="12.7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</row>
    <row r="721" spans="1:38" ht="12.7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</row>
    <row r="722" spans="1:38" ht="12.7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</row>
    <row r="723" spans="1:38" ht="12.7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</row>
    <row r="724" spans="1:38" ht="12.7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</row>
    <row r="725" spans="1:38" ht="12.7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</row>
    <row r="726" spans="1:38" ht="12.7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</row>
    <row r="727" spans="1:38" ht="12.7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</row>
    <row r="728" spans="1:38" ht="12.7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</row>
    <row r="729" spans="1:38" ht="12.7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</row>
    <row r="730" spans="1:38" ht="12.7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</row>
    <row r="731" spans="1:38" ht="12.7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</row>
    <row r="732" spans="1:38" ht="12.7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</row>
    <row r="733" spans="1:38" ht="12.7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</row>
    <row r="734" spans="1:38" ht="12.7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</row>
    <row r="735" spans="1:38" ht="12.7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</row>
    <row r="736" spans="1:38" ht="12.7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</row>
    <row r="737" spans="1:38" ht="12.7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</row>
    <row r="738" spans="1:38" ht="12.7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</row>
    <row r="739" spans="1:38" ht="12.7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</row>
    <row r="740" spans="1:38" ht="12.7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</row>
    <row r="741" spans="1:38" ht="12.7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</row>
    <row r="742" spans="1:38" ht="12.7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</row>
    <row r="743" spans="1:38" ht="12.7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</row>
    <row r="744" spans="1:38" ht="12.7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</row>
    <row r="745" spans="1:38" ht="12.7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</row>
    <row r="746" spans="1:38" ht="12.7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</row>
    <row r="747" spans="1:38" ht="12.7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</row>
    <row r="748" spans="1:38" ht="12.7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</row>
    <row r="749" spans="1:38" ht="12.7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</row>
    <row r="750" spans="1:38" ht="12.7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</row>
    <row r="751" spans="1:38" ht="12.7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</row>
    <row r="752" spans="1:38" ht="12.7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</row>
    <row r="753" spans="1:38" ht="12.7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</row>
    <row r="754" spans="1:38" ht="12.7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</row>
    <row r="755" spans="1:38" ht="12.7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</row>
    <row r="756" spans="1:38" ht="12.7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</row>
    <row r="757" spans="1:38" ht="12.7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</row>
    <row r="758" spans="1:38" ht="12.7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</row>
    <row r="759" spans="1:38" ht="12.7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</row>
    <row r="760" spans="1:38" ht="12.7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</row>
    <row r="761" spans="1:38" ht="12.7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</row>
    <row r="762" spans="1:38" ht="12.7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</row>
    <row r="763" spans="1:38" ht="12.7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</row>
    <row r="764" spans="1:38" ht="12.7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</row>
    <row r="765" spans="1:38" ht="12.7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</row>
    <row r="766" spans="1:38" ht="12.7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</row>
    <row r="767" spans="1:38" ht="12.7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</row>
    <row r="768" spans="1:38" ht="12.7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</row>
    <row r="769" spans="1:38" ht="12.7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</row>
    <row r="770" spans="1:38" ht="12.7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</row>
    <row r="771" spans="1:38" ht="12.7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</row>
    <row r="772" spans="1:38" ht="12.7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</row>
    <row r="773" spans="1:38" ht="12.7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</row>
    <row r="774" spans="1:38" ht="12.7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</row>
    <row r="775" spans="1:38" ht="12.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</row>
    <row r="776" spans="1:38" ht="12.7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</row>
    <row r="777" spans="1:38" ht="12.7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</row>
    <row r="778" spans="1:38" ht="12.7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</row>
    <row r="779" spans="1:38" ht="12.7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</row>
    <row r="780" spans="1:38" ht="12.7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</row>
    <row r="781" spans="1:38" ht="12.7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</row>
    <row r="782" spans="1:38" ht="12.7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</row>
    <row r="783" spans="1:38" ht="12.7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</row>
    <row r="784" spans="1:38" ht="12.7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</row>
    <row r="785" spans="1:38" ht="12.7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</row>
    <row r="786" spans="1:38" ht="12.7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</row>
    <row r="787" spans="1:38" ht="12.7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</row>
    <row r="788" spans="1:38" ht="12.7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</row>
    <row r="789" spans="1:38" ht="12.7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</row>
    <row r="790" spans="1:38" ht="12.7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</row>
    <row r="791" spans="1:38" ht="12.7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</row>
    <row r="792" spans="1:38" ht="12.7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</row>
    <row r="793" spans="1:38" ht="12.7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</row>
    <row r="794" spans="1:38" ht="12.7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</row>
    <row r="795" spans="1:38" ht="12.7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</row>
    <row r="796" spans="1:38" ht="12.7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</row>
    <row r="797" spans="1:38" ht="12.7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</row>
    <row r="798" spans="1:38" ht="12.7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</row>
    <row r="799" spans="1:38" ht="12.7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</row>
    <row r="800" spans="1:38" ht="12.7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</row>
    <row r="801" spans="1:38" ht="12.7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</row>
    <row r="802" spans="1:38" ht="12.7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</row>
    <row r="803" spans="1:38" ht="12.7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</row>
    <row r="804" spans="1:38" ht="12.7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</row>
    <row r="805" spans="1:38" ht="12.7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</row>
    <row r="806" spans="1:38" ht="12.7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</row>
    <row r="807" spans="1:38" ht="12.7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</row>
    <row r="808" spans="1:38" ht="12.7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</row>
    <row r="809" spans="1:38" ht="12.7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</row>
    <row r="810" spans="1:38" ht="12.7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</row>
    <row r="811" spans="1:38" ht="12.7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</row>
    <row r="812" spans="1:38" ht="12.7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</row>
    <row r="813" spans="1:38" ht="12.7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</row>
    <row r="814" spans="1:38" ht="12.7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</row>
    <row r="815" spans="1:38" ht="12.7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</row>
    <row r="816" spans="1:38" ht="12.7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</row>
    <row r="817" spans="1:38" ht="12.7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</row>
    <row r="818" spans="1:38" ht="12.7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</row>
    <row r="819" spans="1:38" ht="12.7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</row>
    <row r="820" spans="1:38" ht="12.7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</row>
    <row r="821" spans="1:38" ht="12.7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</row>
    <row r="822" spans="1:38" ht="12.7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</row>
    <row r="823" spans="1:38" ht="12.7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</row>
    <row r="824" spans="1:38" ht="12.7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</row>
    <row r="825" spans="1:38" ht="12.7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</row>
    <row r="826" spans="1:38" ht="12.7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</row>
    <row r="827" spans="1:38" ht="12.7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</row>
    <row r="828" spans="1:38" ht="12.7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</row>
    <row r="829" spans="1:38" ht="12.7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</row>
    <row r="830" spans="1:38" ht="12.7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</row>
    <row r="831" spans="1:38" ht="12.7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</row>
    <row r="832" spans="1:38" ht="12.7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</row>
    <row r="833" spans="1:38" ht="12.7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</row>
    <row r="834" spans="1:38" ht="12.7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</row>
    <row r="835" spans="1:38" ht="12.7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</row>
    <row r="836" spans="1:38" ht="12.7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</row>
    <row r="837" spans="1:38" ht="12.7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</row>
    <row r="838" spans="1:38" ht="12.7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</row>
    <row r="839" spans="1:38" ht="12.7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</row>
    <row r="840" spans="1:38" ht="12.7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</row>
    <row r="841" spans="1:38" ht="12.7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</row>
    <row r="842" spans="1:38" ht="12.7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</row>
    <row r="843" spans="1:38" ht="12.7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</row>
    <row r="844" spans="1:38" ht="12.7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</row>
    <row r="845" spans="1:38" ht="12.7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</row>
    <row r="846" spans="1:38" ht="12.7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</row>
    <row r="847" spans="1:38" ht="12.7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</row>
    <row r="848" spans="1:38" ht="12.7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</row>
    <row r="849" spans="1:38" ht="12.7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</row>
    <row r="850" spans="1:38" ht="12.7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</row>
    <row r="851" spans="1:38" ht="12.7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</row>
    <row r="852" spans="1:38" ht="12.7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</row>
    <row r="853" spans="1:38" ht="12.7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</row>
    <row r="854" spans="1:38" ht="12.7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</row>
    <row r="855" spans="1:38" ht="12.7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</row>
    <row r="856" spans="1:38" ht="12.7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</row>
    <row r="857" spans="1:38" ht="12.7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</row>
    <row r="858" spans="1:38" ht="12.7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</row>
    <row r="859" spans="1:38" ht="12.7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</row>
    <row r="860" spans="1:38" ht="12.7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</row>
    <row r="861" spans="1:38" ht="12.7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</row>
    <row r="862" spans="1:38" ht="12.7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</row>
    <row r="863" spans="1:38" ht="12.7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</row>
    <row r="864" spans="1:38" ht="12.7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</row>
    <row r="865" spans="1:38" ht="12.7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</row>
    <row r="866" spans="1:38" ht="12.7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</row>
    <row r="867" spans="1:38" ht="12.7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</row>
    <row r="868" spans="1:38" ht="12.7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</row>
    <row r="869" spans="1:38" ht="12.7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</row>
    <row r="870" spans="1:38" ht="12.7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</row>
    <row r="871" spans="1:38" ht="12.7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</row>
    <row r="872" spans="1:38" ht="12.7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</row>
    <row r="873" spans="1:38" ht="12.7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</row>
    <row r="874" spans="1:38" ht="12.7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</row>
    <row r="875" spans="1:38" ht="12.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</row>
    <row r="876" spans="1:38" ht="12.7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</row>
    <row r="877" spans="1:38" ht="12.7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</row>
    <row r="878" spans="1:38" ht="12.7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</row>
    <row r="879" spans="1:38" ht="12.7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</row>
    <row r="880" spans="1:38" ht="12.7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</row>
    <row r="881" spans="1:38" ht="12.7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</row>
    <row r="882" spans="1:38" ht="12.7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</row>
    <row r="883" spans="1:38" ht="12.7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</row>
    <row r="884" spans="1:38" ht="12.7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</row>
    <row r="885" spans="1:38" ht="12.7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</row>
    <row r="886" spans="1:38" ht="12.7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</row>
    <row r="887" spans="1:38" ht="12.7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</row>
    <row r="888" spans="1:38" ht="12.7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</row>
    <row r="889" spans="1:38" ht="12.7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</row>
    <row r="890" spans="1:38" ht="12.7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</row>
    <row r="891" spans="1:38" ht="12.7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</row>
    <row r="892" spans="1:38" ht="12.7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</row>
    <row r="893" spans="1:38" ht="12.7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</row>
    <row r="894" spans="1:38" ht="12.7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</row>
    <row r="895" spans="1:38" ht="12.7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</row>
    <row r="896" spans="1:38" ht="12.7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</row>
    <row r="897" spans="1:38" ht="12.7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</row>
    <row r="898" spans="1:38" ht="12.7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</row>
    <row r="899" spans="1:38" ht="12.7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</row>
    <row r="900" spans="1:38" ht="12.7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</row>
    <row r="901" spans="1:38" ht="12.7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</row>
    <row r="902" spans="1:38" ht="12.7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</row>
    <row r="903" spans="1:38" ht="12.7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</row>
    <row r="904" spans="1:38" ht="12.7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</row>
    <row r="905" spans="1:38" ht="12.7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</row>
    <row r="906" spans="1:38" ht="12.7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</row>
    <row r="907" spans="1:38" ht="12.7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</row>
    <row r="908" spans="1:38" ht="12.7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</row>
    <row r="909" spans="1:38" ht="12.7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</row>
    <row r="910" spans="1:38" ht="12.7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</row>
    <row r="911" spans="1:38" ht="12.7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</row>
    <row r="912" spans="1:38" ht="12.7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</row>
    <row r="913" spans="1:38" ht="12.7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</row>
    <row r="914" spans="1:38" ht="12.7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</row>
    <row r="915" spans="1:38" ht="12.7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</row>
    <row r="916" spans="1:38" ht="12.7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</row>
    <row r="917" spans="1:38" ht="12.7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</row>
    <row r="918" spans="1:38" ht="12.7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</row>
    <row r="919" spans="1:38" ht="12.7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</row>
    <row r="920" spans="1:38" ht="12.7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</row>
    <row r="921" spans="1:38" ht="12.7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</row>
    <row r="922" spans="1:38" ht="12.7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</row>
    <row r="923" spans="1:38" ht="12.7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</row>
    <row r="924" spans="1:38" ht="12.7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</row>
    <row r="925" spans="1:38" ht="12.7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</row>
    <row r="926" spans="1:38" ht="12.7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</row>
    <row r="927" spans="1:38" ht="12.7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</row>
    <row r="928" spans="1:38" ht="12.7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</row>
    <row r="929" spans="1:38" ht="12.7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</row>
    <row r="930" spans="1:38" ht="12.7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</row>
    <row r="931" spans="1:38" ht="12.7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</row>
    <row r="932" spans="1:38" ht="12.7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</row>
    <row r="933" spans="1:38" ht="12.7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</row>
    <row r="934" spans="1:38" ht="12.7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</row>
    <row r="935" spans="1:38" ht="12.7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</row>
    <row r="936" spans="1:38" ht="12.7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</row>
    <row r="937" spans="1:38" ht="12.7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</row>
    <row r="938" spans="1:38" ht="12.7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</row>
    <row r="939" spans="1:38" ht="12.7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</row>
    <row r="940" spans="1:38" ht="12.7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</row>
    <row r="941" spans="1:38" ht="12.7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</row>
    <row r="942" spans="1:38" ht="12.7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</row>
    <row r="943" spans="1:38" ht="12.7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</row>
    <row r="944" spans="1:38" ht="12.7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</row>
    <row r="945" spans="1:38" ht="12.7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</row>
    <row r="946" spans="1:38" ht="12.7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</row>
    <row r="947" spans="1:38" ht="12.7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</row>
    <row r="948" spans="1:38" ht="12.7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</row>
    <row r="949" spans="1:38" ht="12.7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</row>
    <row r="950" spans="1:38" ht="12.7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</row>
    <row r="951" spans="1:38" ht="12.7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</row>
    <row r="952" spans="1:38" ht="12.7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</row>
    <row r="953" spans="1:38" ht="12.7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</row>
    <row r="954" spans="1:38" ht="12.7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</row>
    <row r="955" spans="1:38" ht="12.7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</row>
    <row r="956" spans="1:38" ht="12.7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</row>
    <row r="957" spans="1:38" ht="12.7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</row>
    <row r="958" spans="1:38" ht="12.7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</row>
    <row r="959" spans="1:38" ht="12.7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</row>
    <row r="960" spans="1:38" ht="12.7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</row>
    <row r="961" spans="1:38" ht="12.7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</row>
    <row r="962" spans="1:38" ht="12.7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</row>
    <row r="963" spans="1:38" ht="12.7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</row>
    <row r="964" spans="1:38" ht="12.7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</row>
    <row r="965" spans="1:38" ht="12.7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</row>
    <row r="966" spans="1:38" ht="12.7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</row>
    <row r="967" spans="1:38" ht="12.7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</row>
    <row r="968" spans="1:38" ht="12.7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</row>
    <row r="969" spans="1:38" ht="12.7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</row>
    <row r="970" spans="1:38" ht="12.7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</row>
    <row r="971" spans="1:38" ht="12.7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</row>
    <row r="972" spans="1:38" ht="12.7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</row>
    <row r="973" spans="1:38" ht="12.7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</row>
    <row r="974" spans="1:38" ht="12.7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</row>
    <row r="975" spans="1:38" ht="12.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</row>
    <row r="976" spans="1:38" ht="12.7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</row>
    <row r="977" spans="1:38" ht="12.7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</row>
    <row r="978" spans="1:38" ht="12.7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</row>
    <row r="979" spans="1:38" ht="12.7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</row>
    <row r="980" spans="1:38" ht="12.7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</row>
    <row r="981" spans="1:38" ht="12.7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</row>
    <row r="982" spans="1:38" ht="12.7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</row>
    <row r="983" spans="1:38" ht="12.7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</row>
    <row r="984" spans="1:38" ht="12.7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</row>
    <row r="985" spans="1:38" ht="12.7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</row>
    <row r="986" spans="1:38" ht="12.7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</row>
    <row r="987" spans="1:38" ht="12.7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</row>
    <row r="988" spans="1:38" ht="12.7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</row>
    <row r="989" spans="1:38" ht="12.7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</row>
    <row r="990" spans="1:38" ht="12.7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</row>
    <row r="991" spans="1:38" ht="12.7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</row>
    <row r="992" spans="1:38" ht="12.7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</row>
    <row r="993" spans="1:38" ht="12.7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</row>
    <row r="994" spans="1:38" ht="12.7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</row>
  </sheetData>
  <dataValidations count="1">
    <dataValidation type="list" allowBlank="1" sqref="F2:F994">
      <formula1>$AL$2:$AL$3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8"/>
  <sheetViews>
    <sheetView rightToLeft="1" workbookViewId="0">
      <selection sqref="A1:I50"/>
    </sheetView>
  </sheetViews>
  <sheetFormatPr defaultColWidth="14.42578125" defaultRowHeight="15.75" customHeight="1"/>
  <cols>
    <col min="1" max="1" width="4.28515625" customWidth="1"/>
    <col min="2" max="2" width="22.28515625" customWidth="1"/>
    <col min="3" max="4" width="15.7109375" customWidth="1"/>
    <col min="5" max="5" width="14.5703125" customWidth="1"/>
    <col min="6" max="6" width="15" customWidth="1"/>
    <col min="7" max="7" width="9.85546875" customWidth="1"/>
    <col min="8" max="8" width="9" customWidth="1"/>
    <col min="9" max="9" width="24.85546875" customWidth="1"/>
    <col min="10" max="10" width="12.85546875" customWidth="1"/>
    <col min="11" max="12" width="11.5703125" customWidth="1"/>
    <col min="13" max="13" width="17.28515625" customWidth="1"/>
    <col min="14" max="14" width="12.28515625" customWidth="1"/>
    <col min="15" max="15" width="11.7109375" customWidth="1"/>
    <col min="16" max="35" width="9.85546875" customWidth="1"/>
  </cols>
  <sheetData>
    <row r="1" spans="1:35" ht="13.5" customHeight="1">
      <c r="A1" s="112" t="s">
        <v>0</v>
      </c>
      <c r="B1" s="113" t="s">
        <v>1</v>
      </c>
      <c r="C1" s="113" t="s">
        <v>2</v>
      </c>
      <c r="D1" s="113" t="s">
        <v>3</v>
      </c>
      <c r="E1" s="114" t="s">
        <v>20</v>
      </c>
      <c r="F1" s="113" t="s">
        <v>21</v>
      </c>
      <c r="G1" s="113" t="s">
        <v>22</v>
      </c>
      <c r="H1" s="113" t="s">
        <v>5</v>
      </c>
      <c r="I1" s="115" t="s">
        <v>23</v>
      </c>
      <c r="J1" s="46"/>
      <c r="K1" s="46"/>
      <c r="L1" s="46"/>
      <c r="M1" s="4"/>
      <c r="N1" s="47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</row>
    <row r="2" spans="1:35" ht="13.5" customHeight="1">
      <c r="A2" s="108">
        <v>1</v>
      </c>
      <c r="B2" s="49" t="s">
        <v>24</v>
      </c>
      <c r="C2" s="50" t="s">
        <v>25</v>
      </c>
      <c r="D2" s="51" t="s">
        <v>7</v>
      </c>
      <c r="E2" s="52">
        <v>44516</v>
      </c>
      <c r="F2" s="53">
        <v>44542</v>
      </c>
      <c r="G2" s="51" t="s">
        <v>26</v>
      </c>
      <c r="H2" s="51" t="s">
        <v>27</v>
      </c>
      <c r="I2" s="109" t="s">
        <v>28</v>
      </c>
      <c r="J2" s="6"/>
      <c r="K2" s="6"/>
      <c r="L2" s="6"/>
      <c r="M2" s="6"/>
      <c r="N2" s="54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</row>
    <row r="3" spans="1:35" ht="13.5" customHeight="1">
      <c r="A3" s="108">
        <v>2</v>
      </c>
      <c r="B3" s="56" t="s">
        <v>29</v>
      </c>
      <c r="C3" s="50" t="s">
        <v>30</v>
      </c>
      <c r="D3" s="51" t="s">
        <v>7</v>
      </c>
      <c r="E3" s="52">
        <v>44523</v>
      </c>
      <c r="F3" s="53">
        <v>44542</v>
      </c>
      <c r="G3" s="51" t="s">
        <v>26</v>
      </c>
      <c r="H3" s="51" t="s">
        <v>27</v>
      </c>
      <c r="I3" s="109" t="s">
        <v>28</v>
      </c>
      <c r="J3" s="6"/>
      <c r="K3" s="6"/>
      <c r="L3" s="6"/>
      <c r="M3" s="6"/>
      <c r="N3" s="54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7"/>
      <c r="AE3" s="57"/>
      <c r="AF3" s="57"/>
      <c r="AG3" s="57"/>
      <c r="AH3" s="57"/>
      <c r="AI3" s="57"/>
    </row>
    <row r="4" spans="1:35" ht="13.5" customHeight="1">
      <c r="A4" s="108">
        <v>3</v>
      </c>
      <c r="B4" s="20" t="s">
        <v>31</v>
      </c>
      <c r="C4" s="50" t="s">
        <v>32</v>
      </c>
      <c r="D4" s="51" t="s">
        <v>7</v>
      </c>
      <c r="E4" s="52">
        <v>44516</v>
      </c>
      <c r="F4" s="53">
        <v>44542</v>
      </c>
      <c r="G4" s="51" t="s">
        <v>26</v>
      </c>
      <c r="H4" s="51" t="s">
        <v>27</v>
      </c>
      <c r="I4" s="109" t="s">
        <v>28</v>
      </c>
      <c r="J4" s="6"/>
      <c r="K4" s="6"/>
      <c r="L4" s="6"/>
      <c r="M4" s="4"/>
      <c r="N4" s="54"/>
      <c r="O4" s="54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7"/>
      <c r="AE4" s="57"/>
      <c r="AF4" s="57"/>
      <c r="AG4" s="57"/>
      <c r="AH4" s="57"/>
      <c r="AI4" s="57"/>
    </row>
    <row r="5" spans="1:35" ht="13.5" customHeight="1">
      <c r="A5" s="108">
        <v>4</v>
      </c>
      <c r="B5" s="58" t="s">
        <v>33</v>
      </c>
      <c r="C5" s="50" t="s">
        <v>34</v>
      </c>
      <c r="D5" s="51" t="s">
        <v>7</v>
      </c>
      <c r="E5" s="52">
        <v>44523</v>
      </c>
      <c r="F5" s="52">
        <v>44543</v>
      </c>
      <c r="G5" s="17" t="s">
        <v>35</v>
      </c>
      <c r="H5" s="51" t="s">
        <v>27</v>
      </c>
      <c r="I5" s="109" t="s">
        <v>36</v>
      </c>
      <c r="J5" s="6"/>
      <c r="K5" s="6"/>
      <c r="L5" s="6"/>
      <c r="M5" s="6"/>
      <c r="N5" s="54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9"/>
      <c r="AE5" s="59"/>
      <c r="AF5" s="59"/>
      <c r="AG5" s="59"/>
      <c r="AH5" s="59"/>
      <c r="AI5" s="59"/>
    </row>
    <row r="6" spans="1:35" ht="13.5" customHeight="1">
      <c r="A6" s="108">
        <v>5</v>
      </c>
      <c r="B6" s="2" t="s">
        <v>37</v>
      </c>
      <c r="C6" s="6" t="s">
        <v>38</v>
      </c>
      <c r="D6" s="51" t="s">
        <v>7</v>
      </c>
      <c r="E6" s="60">
        <v>44537</v>
      </c>
      <c r="F6" s="52">
        <v>44543</v>
      </c>
      <c r="G6" s="4" t="s">
        <v>26</v>
      </c>
      <c r="H6" s="4" t="s">
        <v>27</v>
      </c>
      <c r="I6" s="109" t="s">
        <v>36</v>
      </c>
      <c r="J6" s="6"/>
      <c r="K6" s="6"/>
      <c r="L6" s="6"/>
      <c r="M6" s="6"/>
      <c r="N6" s="54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9"/>
      <c r="AE6" s="59"/>
      <c r="AF6" s="59"/>
      <c r="AG6" s="59"/>
      <c r="AH6" s="59"/>
      <c r="AI6" s="59"/>
    </row>
    <row r="7" spans="1:35" ht="13.5" customHeight="1">
      <c r="A7" s="108">
        <v>6</v>
      </c>
      <c r="B7" s="17" t="s">
        <v>39</v>
      </c>
      <c r="C7" s="1" t="s">
        <v>40</v>
      </c>
      <c r="D7" s="51" t="s">
        <v>7</v>
      </c>
      <c r="E7" s="52">
        <v>44501</v>
      </c>
      <c r="F7" s="53">
        <v>44517</v>
      </c>
      <c r="G7" s="17" t="s">
        <v>35</v>
      </c>
      <c r="H7" s="51" t="s">
        <v>8</v>
      </c>
      <c r="I7" s="109" t="s">
        <v>36</v>
      </c>
      <c r="J7" s="6"/>
      <c r="K7" s="6"/>
      <c r="L7" s="6"/>
      <c r="M7" s="6"/>
      <c r="N7" s="54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7"/>
      <c r="AE7" s="57"/>
      <c r="AF7" s="57"/>
      <c r="AG7" s="57"/>
      <c r="AH7" s="57"/>
      <c r="AI7" s="57"/>
    </row>
    <row r="8" spans="1:35" ht="13.5" customHeight="1">
      <c r="A8" s="108">
        <v>7</v>
      </c>
      <c r="B8" s="2" t="s">
        <v>41</v>
      </c>
      <c r="C8" s="3" t="s">
        <v>42</v>
      </c>
      <c r="D8" s="51" t="s">
        <v>7</v>
      </c>
      <c r="E8" s="60">
        <v>44516</v>
      </c>
      <c r="F8" s="8">
        <v>44545</v>
      </c>
      <c r="G8" s="2" t="s">
        <v>26</v>
      </c>
      <c r="H8" s="4" t="s">
        <v>27</v>
      </c>
      <c r="I8" s="109" t="s">
        <v>28</v>
      </c>
      <c r="J8" s="6"/>
      <c r="K8" s="6"/>
      <c r="L8" s="6"/>
      <c r="M8" s="6"/>
      <c r="N8" s="54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</row>
    <row r="9" spans="1:35" ht="13.5" customHeight="1">
      <c r="A9" s="108">
        <v>8</v>
      </c>
      <c r="B9" s="2" t="s">
        <v>43</v>
      </c>
      <c r="C9" s="3" t="s">
        <v>44</v>
      </c>
      <c r="D9" s="51" t="s">
        <v>7</v>
      </c>
      <c r="E9" s="60">
        <v>44516</v>
      </c>
      <c r="F9" s="8">
        <v>44545</v>
      </c>
      <c r="G9" s="2" t="s">
        <v>26</v>
      </c>
      <c r="H9" s="4" t="s">
        <v>27</v>
      </c>
      <c r="I9" s="109" t="s">
        <v>28</v>
      </c>
      <c r="J9" s="6"/>
      <c r="K9" s="6"/>
      <c r="L9" s="6"/>
      <c r="M9" s="6"/>
      <c r="N9" s="54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</row>
    <row r="10" spans="1:35" ht="13.5" customHeight="1">
      <c r="A10" s="108">
        <v>9</v>
      </c>
      <c r="B10" s="2" t="s">
        <v>45</v>
      </c>
      <c r="C10" s="3" t="s">
        <v>46</v>
      </c>
      <c r="D10" s="51" t="s">
        <v>7</v>
      </c>
      <c r="E10" s="60">
        <v>44537</v>
      </c>
      <c r="F10" s="4" t="s">
        <v>47</v>
      </c>
      <c r="G10" s="4" t="s">
        <v>26</v>
      </c>
      <c r="H10" s="4" t="s">
        <v>27</v>
      </c>
      <c r="I10" s="89" t="s">
        <v>48</v>
      </c>
      <c r="J10" s="6"/>
      <c r="K10" s="6"/>
      <c r="L10" s="6"/>
      <c r="M10" s="6"/>
      <c r="N10" s="54"/>
      <c r="O10" s="1"/>
      <c r="P10" s="61"/>
      <c r="Q10" s="59"/>
      <c r="R10" s="8"/>
      <c r="S10" s="59"/>
      <c r="T10" s="13"/>
      <c r="U10" s="59"/>
      <c r="V10" s="62"/>
      <c r="W10" s="55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5"/>
    </row>
    <row r="11" spans="1:35" ht="13.5" customHeight="1">
      <c r="A11" s="108">
        <v>10</v>
      </c>
      <c r="B11" s="17" t="s">
        <v>49</v>
      </c>
      <c r="C11" s="17" t="s">
        <v>50</v>
      </c>
      <c r="D11" s="51" t="s">
        <v>7</v>
      </c>
      <c r="E11" s="63">
        <v>44523</v>
      </c>
      <c r="F11" s="63"/>
      <c r="G11" s="17" t="s">
        <v>26</v>
      </c>
      <c r="H11" s="17" t="s">
        <v>27</v>
      </c>
      <c r="I11" s="109" t="s">
        <v>36</v>
      </c>
      <c r="J11" s="6"/>
      <c r="K11" s="6"/>
      <c r="L11" s="6"/>
      <c r="M11" s="6"/>
      <c r="N11" s="54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</row>
    <row r="12" spans="1:35" ht="13.5" customHeight="1">
      <c r="A12" s="108">
        <v>11</v>
      </c>
      <c r="B12" s="2" t="s">
        <v>51</v>
      </c>
      <c r="C12" s="3" t="s">
        <v>52</v>
      </c>
      <c r="D12" s="51" t="s">
        <v>7</v>
      </c>
      <c r="E12" s="60">
        <v>44537</v>
      </c>
      <c r="F12" s="8"/>
      <c r="G12" s="4" t="s">
        <v>26</v>
      </c>
      <c r="H12" s="4" t="s">
        <v>8</v>
      </c>
      <c r="I12" s="109" t="s">
        <v>36</v>
      </c>
      <c r="J12" s="6"/>
      <c r="K12" s="6"/>
      <c r="L12" s="6"/>
      <c r="M12" s="6"/>
      <c r="N12" s="54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</row>
    <row r="13" spans="1:35" ht="13.5" customHeight="1">
      <c r="A13" s="108">
        <v>12</v>
      </c>
      <c r="B13" s="17" t="s">
        <v>53</v>
      </c>
      <c r="C13" s="17" t="s">
        <v>54</v>
      </c>
      <c r="D13" s="51" t="s">
        <v>7</v>
      </c>
      <c r="E13" s="63">
        <v>44516</v>
      </c>
      <c r="F13" s="52">
        <v>44546</v>
      </c>
      <c r="G13" s="17" t="s">
        <v>35</v>
      </c>
      <c r="H13" s="17" t="s">
        <v>8</v>
      </c>
      <c r="I13" s="109" t="s">
        <v>36</v>
      </c>
      <c r="J13" s="6"/>
      <c r="K13" s="6"/>
      <c r="L13" s="6"/>
      <c r="M13" s="6"/>
      <c r="N13" s="54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</row>
    <row r="14" spans="1:35" ht="13.5" customHeight="1">
      <c r="A14" s="108">
        <v>13</v>
      </c>
      <c r="B14" s="64" t="s">
        <v>55</v>
      </c>
      <c r="C14" s="65" t="s">
        <v>56</v>
      </c>
      <c r="D14" s="51" t="s">
        <v>7</v>
      </c>
      <c r="E14" s="66">
        <v>44542</v>
      </c>
      <c r="F14" s="67"/>
      <c r="G14" s="17" t="s">
        <v>35</v>
      </c>
      <c r="H14" s="64" t="s">
        <v>27</v>
      </c>
      <c r="I14" s="109" t="s">
        <v>36</v>
      </c>
      <c r="J14" s="6"/>
      <c r="K14" s="6"/>
      <c r="L14" s="6"/>
      <c r="M14" s="6"/>
      <c r="N14" s="54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</row>
    <row r="15" spans="1:35" ht="13.5" customHeight="1">
      <c r="A15" s="108">
        <v>14</v>
      </c>
      <c r="B15" s="64" t="s">
        <v>45</v>
      </c>
      <c r="C15" s="65" t="s">
        <v>46</v>
      </c>
      <c r="D15" s="51" t="s">
        <v>7</v>
      </c>
      <c r="E15" s="66">
        <v>44537</v>
      </c>
      <c r="F15" s="64" t="s">
        <v>47</v>
      </c>
      <c r="G15" s="64" t="s">
        <v>26</v>
      </c>
      <c r="H15" s="64" t="s">
        <v>27</v>
      </c>
      <c r="I15" s="109" t="s">
        <v>36</v>
      </c>
      <c r="J15" s="6"/>
      <c r="K15" s="6"/>
      <c r="L15" s="6"/>
      <c r="M15" s="6"/>
      <c r="N15" s="54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</row>
    <row r="16" spans="1:35" ht="13.5" customHeight="1">
      <c r="A16" s="108">
        <v>15</v>
      </c>
      <c r="B16" s="64" t="s">
        <v>57</v>
      </c>
      <c r="C16" s="65" t="s">
        <v>58</v>
      </c>
      <c r="D16" s="51" t="s">
        <v>7</v>
      </c>
      <c r="E16" s="66">
        <v>44531</v>
      </c>
      <c r="F16" s="68">
        <v>44551</v>
      </c>
      <c r="G16" s="64" t="s">
        <v>26</v>
      </c>
      <c r="H16" s="64" t="s">
        <v>27</v>
      </c>
      <c r="I16" s="109" t="s">
        <v>28</v>
      </c>
      <c r="J16" s="6"/>
      <c r="K16" s="6"/>
      <c r="L16" s="6"/>
      <c r="M16" s="6"/>
      <c r="N16" s="54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</row>
    <row r="17" spans="1:35" ht="13.5" customHeight="1">
      <c r="A17" s="108">
        <v>16</v>
      </c>
      <c r="B17" s="64" t="s">
        <v>59</v>
      </c>
      <c r="C17" s="65" t="s">
        <v>60</v>
      </c>
      <c r="D17" s="51" t="s">
        <v>7</v>
      </c>
      <c r="E17" s="66">
        <v>44516</v>
      </c>
      <c r="F17" s="68">
        <v>44551</v>
      </c>
      <c r="G17" s="64" t="s">
        <v>26</v>
      </c>
      <c r="H17" s="64" t="s">
        <v>27</v>
      </c>
      <c r="I17" s="109" t="s">
        <v>28</v>
      </c>
      <c r="J17" s="6"/>
      <c r="K17" s="6"/>
      <c r="L17" s="6"/>
      <c r="M17" s="6"/>
      <c r="N17" s="54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</row>
    <row r="18" spans="1:35" ht="13.5" customHeight="1">
      <c r="A18" s="108">
        <v>17</v>
      </c>
      <c r="B18" s="17" t="s">
        <v>61</v>
      </c>
      <c r="C18" s="17" t="s">
        <v>62</v>
      </c>
      <c r="D18" s="51" t="s">
        <v>7</v>
      </c>
      <c r="E18" s="63">
        <v>44542</v>
      </c>
      <c r="F18" s="52">
        <v>44551</v>
      </c>
      <c r="G18" s="17" t="s">
        <v>26</v>
      </c>
      <c r="H18" s="17" t="s">
        <v>8</v>
      </c>
      <c r="I18" s="109" t="s">
        <v>36</v>
      </c>
      <c r="J18" s="6"/>
      <c r="K18" s="6"/>
      <c r="L18" s="6"/>
      <c r="M18" s="6"/>
      <c r="N18" s="54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</row>
    <row r="19" spans="1:35" ht="13.5" customHeight="1">
      <c r="A19" s="108">
        <v>18</v>
      </c>
      <c r="B19" s="17" t="s">
        <v>63</v>
      </c>
      <c r="C19" s="17" t="s">
        <v>64</v>
      </c>
      <c r="D19" s="51" t="s">
        <v>7</v>
      </c>
      <c r="E19" s="63">
        <v>44544</v>
      </c>
      <c r="F19" s="17" t="s">
        <v>47</v>
      </c>
      <c r="G19" s="64" t="s">
        <v>26</v>
      </c>
      <c r="H19" s="51" t="s">
        <v>27</v>
      </c>
      <c r="I19" s="109" t="s">
        <v>65</v>
      </c>
      <c r="J19" s="6"/>
      <c r="K19" s="6"/>
      <c r="L19" s="6"/>
      <c r="M19" s="69"/>
      <c r="N19" s="54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</row>
    <row r="20" spans="1:35" ht="13.5" customHeight="1">
      <c r="A20" s="108">
        <v>19</v>
      </c>
      <c r="B20" s="55" t="s">
        <v>66</v>
      </c>
      <c r="C20" s="55" t="s">
        <v>67</v>
      </c>
      <c r="D20" s="51" t="s">
        <v>7</v>
      </c>
      <c r="E20" s="70">
        <v>44544</v>
      </c>
      <c r="F20" s="55" t="s">
        <v>47</v>
      </c>
      <c r="G20" s="64" t="s">
        <v>26</v>
      </c>
      <c r="H20" s="51" t="s">
        <v>27</v>
      </c>
      <c r="I20" s="110" t="s">
        <v>68</v>
      </c>
      <c r="J20" s="6"/>
      <c r="K20" s="6"/>
      <c r="L20" s="6"/>
      <c r="M20" s="71"/>
      <c r="N20" s="54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</row>
    <row r="21" spans="1:35" ht="13.5" customHeight="1">
      <c r="A21" s="108">
        <v>20</v>
      </c>
      <c r="B21" s="64" t="s">
        <v>69</v>
      </c>
      <c r="C21" s="65" t="s">
        <v>70</v>
      </c>
      <c r="D21" s="51" t="s">
        <v>7</v>
      </c>
      <c r="E21" s="67">
        <v>44531</v>
      </c>
      <c r="F21" s="68">
        <v>44558</v>
      </c>
      <c r="G21" s="64" t="s">
        <v>26</v>
      </c>
      <c r="H21" s="64" t="s">
        <v>27</v>
      </c>
      <c r="I21" s="109" t="s">
        <v>28</v>
      </c>
      <c r="J21" s="6"/>
      <c r="K21" s="6"/>
      <c r="L21" s="6"/>
      <c r="M21" s="71"/>
      <c r="N21" s="64"/>
      <c r="O21" s="72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4"/>
    </row>
    <row r="22" spans="1:35" ht="13.5" customHeight="1">
      <c r="A22" s="108">
        <v>21</v>
      </c>
      <c r="B22" s="64" t="s">
        <v>71</v>
      </c>
      <c r="C22" s="65" t="s">
        <v>72</v>
      </c>
      <c r="D22" s="51" t="s">
        <v>7</v>
      </c>
      <c r="E22" s="67">
        <v>44544</v>
      </c>
      <c r="F22" s="68">
        <v>44558</v>
      </c>
      <c r="G22" s="64" t="s">
        <v>26</v>
      </c>
      <c r="H22" s="64" t="s">
        <v>27</v>
      </c>
      <c r="I22" s="109" t="s">
        <v>28</v>
      </c>
      <c r="J22" s="6"/>
      <c r="K22" s="6"/>
      <c r="L22" s="6"/>
      <c r="M22" s="71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4"/>
    </row>
    <row r="23" spans="1:35" ht="13.5" customHeight="1">
      <c r="A23" s="108">
        <v>22</v>
      </c>
      <c r="B23" s="64" t="s">
        <v>73</v>
      </c>
      <c r="C23" s="65" t="s">
        <v>74</v>
      </c>
      <c r="D23" s="51" t="s">
        <v>7</v>
      </c>
      <c r="E23" s="67">
        <v>44537</v>
      </c>
      <c r="F23" s="68">
        <v>44558</v>
      </c>
      <c r="G23" s="64" t="s">
        <v>26</v>
      </c>
      <c r="H23" s="64" t="s">
        <v>27</v>
      </c>
      <c r="I23" s="109" t="s">
        <v>28</v>
      </c>
      <c r="J23" s="6"/>
      <c r="K23" s="6"/>
      <c r="L23" s="6"/>
      <c r="M23" s="75"/>
      <c r="N23" s="73"/>
      <c r="O23" s="73"/>
      <c r="P23" s="73"/>
      <c r="Q23" s="73"/>
      <c r="R23" s="73"/>
      <c r="S23" s="73"/>
      <c r="T23" s="73"/>
      <c r="U23" s="73"/>
      <c r="V23" s="74"/>
    </row>
    <row r="24" spans="1:35" ht="13.5" customHeight="1">
      <c r="A24" s="108">
        <v>23</v>
      </c>
      <c r="B24" s="76" t="s">
        <v>75</v>
      </c>
      <c r="C24" s="77" t="s">
        <v>76</v>
      </c>
      <c r="D24" s="51" t="s">
        <v>7</v>
      </c>
      <c r="E24" s="78">
        <v>44542</v>
      </c>
      <c r="F24" s="79">
        <v>44560</v>
      </c>
      <c r="G24" s="64" t="s">
        <v>26</v>
      </c>
      <c r="H24" s="51" t="s">
        <v>27</v>
      </c>
      <c r="I24" s="110" t="s">
        <v>36</v>
      </c>
      <c r="J24" s="6"/>
      <c r="K24" s="6"/>
      <c r="L24" s="6"/>
      <c r="M24" s="71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</row>
    <row r="25" spans="1:35" ht="13.5" customHeight="1">
      <c r="A25" s="108">
        <v>24</v>
      </c>
      <c r="B25" s="55" t="s">
        <v>77</v>
      </c>
      <c r="C25" s="55" t="s">
        <v>78</v>
      </c>
      <c r="D25" s="51" t="s">
        <v>7</v>
      </c>
      <c r="E25" s="80">
        <v>44531</v>
      </c>
      <c r="F25" s="81">
        <v>44565</v>
      </c>
      <c r="G25" s="64" t="s">
        <v>26</v>
      </c>
      <c r="H25" s="51" t="s">
        <v>27</v>
      </c>
      <c r="I25" s="109" t="s">
        <v>28</v>
      </c>
      <c r="J25" s="6"/>
      <c r="K25" s="6"/>
      <c r="L25" s="6"/>
      <c r="M25" s="71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</row>
    <row r="26" spans="1:35" ht="13.5" customHeight="1">
      <c r="A26" s="108">
        <v>25</v>
      </c>
      <c r="B26" s="55" t="s">
        <v>79</v>
      </c>
      <c r="C26" s="55" t="s">
        <v>80</v>
      </c>
      <c r="D26" s="51" t="s">
        <v>7</v>
      </c>
      <c r="E26" s="80">
        <v>44537</v>
      </c>
      <c r="F26" s="81">
        <v>44565</v>
      </c>
      <c r="G26" s="64" t="s">
        <v>26</v>
      </c>
      <c r="H26" s="51" t="s">
        <v>27</v>
      </c>
      <c r="I26" s="109" t="s">
        <v>28</v>
      </c>
      <c r="J26" s="6"/>
      <c r="K26" s="6"/>
      <c r="L26" s="6"/>
      <c r="M26" s="71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</row>
    <row r="27" spans="1:35" ht="13.5" customHeight="1">
      <c r="A27" s="108">
        <v>26</v>
      </c>
      <c r="B27" s="55" t="s">
        <v>81</v>
      </c>
      <c r="C27" s="55" t="s">
        <v>82</v>
      </c>
      <c r="D27" s="51" t="s">
        <v>7</v>
      </c>
      <c r="E27" s="70">
        <v>44531</v>
      </c>
      <c r="F27" s="81">
        <v>44565</v>
      </c>
      <c r="G27" s="64" t="s">
        <v>26</v>
      </c>
      <c r="H27" s="51" t="s">
        <v>8</v>
      </c>
      <c r="I27" s="109" t="s">
        <v>28</v>
      </c>
      <c r="J27" s="6"/>
      <c r="K27" s="6"/>
      <c r="L27" s="6"/>
      <c r="M27" s="71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</row>
    <row r="28" spans="1:35" ht="13.5" customHeight="1">
      <c r="A28" s="108">
        <v>27</v>
      </c>
      <c r="B28" s="55" t="s">
        <v>83</v>
      </c>
      <c r="C28" s="55" t="s">
        <v>84</v>
      </c>
      <c r="D28" s="51" t="s">
        <v>7</v>
      </c>
      <c r="E28" s="80">
        <v>44535</v>
      </c>
      <c r="F28" s="81">
        <v>44565</v>
      </c>
      <c r="G28" s="64" t="s">
        <v>26</v>
      </c>
      <c r="H28" s="51" t="s">
        <v>27</v>
      </c>
      <c r="I28" s="109" t="s">
        <v>28</v>
      </c>
      <c r="J28" s="6"/>
      <c r="K28" s="6"/>
      <c r="L28" s="6"/>
      <c r="M28" s="71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</row>
    <row r="29" spans="1:35" ht="13.5" customHeight="1">
      <c r="A29" s="108">
        <v>28</v>
      </c>
      <c r="B29" s="55" t="s">
        <v>85</v>
      </c>
      <c r="C29" s="55" t="s">
        <v>86</v>
      </c>
      <c r="D29" s="51" t="s">
        <v>7</v>
      </c>
      <c r="E29" s="70">
        <v>44542</v>
      </c>
      <c r="F29" s="54" t="s">
        <v>47</v>
      </c>
      <c r="G29" s="64" t="s">
        <v>26</v>
      </c>
      <c r="H29" s="51" t="s">
        <v>27</v>
      </c>
      <c r="I29" s="109" t="s">
        <v>87</v>
      </c>
      <c r="J29" s="6"/>
      <c r="K29" s="6"/>
      <c r="L29" s="6"/>
      <c r="M29" s="82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</row>
    <row r="30" spans="1:35" ht="13.5" customHeight="1">
      <c r="A30" s="108">
        <v>29</v>
      </c>
      <c r="B30" s="55" t="s">
        <v>88</v>
      </c>
      <c r="C30" s="55" t="s">
        <v>89</v>
      </c>
      <c r="D30" s="51" t="s">
        <v>7</v>
      </c>
      <c r="E30" s="70">
        <v>44544</v>
      </c>
      <c r="F30" s="54" t="s">
        <v>47</v>
      </c>
      <c r="G30" s="64" t="s">
        <v>26</v>
      </c>
      <c r="H30" s="51" t="s">
        <v>27</v>
      </c>
      <c r="I30" s="109" t="s">
        <v>87</v>
      </c>
      <c r="J30" s="6"/>
      <c r="K30" s="6"/>
      <c r="L30" s="6"/>
      <c r="M30" s="71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</row>
    <row r="31" spans="1:35" ht="13.5" customHeight="1">
      <c r="A31" s="108">
        <v>30</v>
      </c>
      <c r="B31" s="55" t="s">
        <v>90</v>
      </c>
      <c r="C31" s="55" t="s">
        <v>91</v>
      </c>
      <c r="D31" s="51" t="s">
        <v>7</v>
      </c>
      <c r="E31" s="54" t="s">
        <v>47</v>
      </c>
      <c r="F31" s="54" t="s">
        <v>47</v>
      </c>
      <c r="G31" s="64" t="s">
        <v>26</v>
      </c>
      <c r="H31" s="51" t="s">
        <v>8</v>
      </c>
      <c r="I31" s="109" t="s">
        <v>87</v>
      </c>
      <c r="J31" s="6"/>
      <c r="K31" s="6"/>
      <c r="L31" s="6"/>
      <c r="M31" s="71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</row>
    <row r="32" spans="1:35" ht="13.5" customHeight="1">
      <c r="A32" s="108">
        <v>31</v>
      </c>
      <c r="B32" s="55" t="s">
        <v>92</v>
      </c>
      <c r="C32" s="55" t="s">
        <v>93</v>
      </c>
      <c r="D32" s="51" t="s">
        <v>7</v>
      </c>
      <c r="E32" s="70">
        <v>44549</v>
      </c>
      <c r="F32" s="54" t="s">
        <v>47</v>
      </c>
      <c r="G32" s="64" t="s">
        <v>26</v>
      </c>
      <c r="H32" s="51" t="s">
        <v>8</v>
      </c>
      <c r="I32" s="109" t="s">
        <v>87</v>
      </c>
      <c r="J32" s="6"/>
      <c r="K32" s="6"/>
      <c r="L32" s="6"/>
      <c r="M32" s="71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</row>
    <row r="33" spans="1:35" ht="13.5" customHeight="1">
      <c r="A33" s="108">
        <v>32</v>
      </c>
      <c r="B33" s="64" t="s">
        <v>94</v>
      </c>
      <c r="C33" s="65" t="s">
        <v>95</v>
      </c>
      <c r="D33" s="51" t="s">
        <v>7</v>
      </c>
      <c r="E33" s="67">
        <v>44523</v>
      </c>
      <c r="F33" s="81">
        <v>44572</v>
      </c>
      <c r="G33" s="64" t="s">
        <v>26</v>
      </c>
      <c r="H33" s="64" t="s">
        <v>8</v>
      </c>
      <c r="I33" s="111" t="s">
        <v>36</v>
      </c>
      <c r="J33" s="6"/>
      <c r="K33" s="6"/>
      <c r="L33" s="6"/>
      <c r="M33" s="75"/>
      <c r="N33" s="45"/>
      <c r="O33" s="45"/>
      <c r="P33" s="45"/>
      <c r="Q33" s="45"/>
      <c r="R33" s="45"/>
      <c r="S33" s="45"/>
      <c r="T33" s="45"/>
      <c r="U33" s="45"/>
      <c r="V33" s="45"/>
      <c r="W33" s="55"/>
      <c r="X33" s="55"/>
    </row>
    <row r="34" spans="1:35" ht="13.5" customHeight="1">
      <c r="A34" s="108">
        <v>33</v>
      </c>
      <c r="B34" s="83" t="s">
        <v>96</v>
      </c>
      <c r="C34" s="65" t="s">
        <v>97</v>
      </c>
      <c r="D34" s="65" t="s">
        <v>7</v>
      </c>
      <c r="E34" s="67">
        <v>44516</v>
      </c>
      <c r="F34" s="53">
        <v>44572</v>
      </c>
      <c r="G34" s="64" t="s">
        <v>26</v>
      </c>
      <c r="H34" s="64" t="s">
        <v>27</v>
      </c>
      <c r="I34" s="109" t="s">
        <v>28</v>
      </c>
      <c r="J34" s="6"/>
      <c r="K34" s="6"/>
      <c r="L34" s="6"/>
      <c r="M34" s="84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</row>
    <row r="35" spans="1:35" ht="13.5" customHeight="1">
      <c r="A35" s="108">
        <v>34</v>
      </c>
      <c r="B35" s="55" t="s">
        <v>98</v>
      </c>
      <c r="C35" s="55" t="s">
        <v>99</v>
      </c>
      <c r="D35" s="55" t="s">
        <v>7</v>
      </c>
      <c r="E35" s="80">
        <v>44536</v>
      </c>
      <c r="F35" s="53">
        <v>44572</v>
      </c>
      <c r="G35" s="17" t="s">
        <v>26</v>
      </c>
      <c r="H35" s="17" t="s">
        <v>27</v>
      </c>
      <c r="I35" s="109" t="s">
        <v>28</v>
      </c>
      <c r="J35" s="6"/>
      <c r="K35" s="6"/>
      <c r="L35" s="6"/>
      <c r="M35" s="84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</row>
    <row r="36" spans="1:35" ht="13.5" customHeight="1">
      <c r="A36" s="108">
        <v>35</v>
      </c>
      <c r="B36" s="55" t="s">
        <v>100</v>
      </c>
      <c r="C36" s="55" t="s">
        <v>101</v>
      </c>
      <c r="D36" s="55" t="s">
        <v>7</v>
      </c>
      <c r="E36" s="70">
        <v>44531</v>
      </c>
      <c r="F36" s="53">
        <v>44572</v>
      </c>
      <c r="G36" s="17" t="s">
        <v>26</v>
      </c>
      <c r="H36" s="17" t="s">
        <v>8</v>
      </c>
      <c r="I36" s="109" t="s">
        <v>28</v>
      </c>
      <c r="J36" s="6"/>
      <c r="K36" s="6"/>
      <c r="L36" s="6"/>
      <c r="M36" s="84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</row>
    <row r="37" spans="1:35" ht="13.5" customHeight="1">
      <c r="A37" s="108">
        <v>36</v>
      </c>
      <c r="B37" s="55" t="s">
        <v>75</v>
      </c>
      <c r="C37" s="55" t="s">
        <v>76</v>
      </c>
      <c r="D37" s="55" t="s">
        <v>7</v>
      </c>
      <c r="E37" s="80">
        <v>44542</v>
      </c>
      <c r="F37" s="53">
        <v>44572</v>
      </c>
      <c r="G37" s="17" t="s">
        <v>26</v>
      </c>
      <c r="H37" s="17" t="s">
        <v>27</v>
      </c>
      <c r="I37" s="109" t="s">
        <v>28</v>
      </c>
      <c r="J37" s="6"/>
      <c r="K37" s="6"/>
      <c r="L37" s="6"/>
      <c r="M37" s="84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</row>
    <row r="38" spans="1:35" ht="13.5" customHeight="1">
      <c r="A38" s="108">
        <v>37</v>
      </c>
      <c r="B38" s="55" t="s">
        <v>102</v>
      </c>
      <c r="C38" s="55" t="s">
        <v>103</v>
      </c>
      <c r="D38" s="55" t="s">
        <v>7</v>
      </c>
      <c r="E38" s="70">
        <v>44542</v>
      </c>
      <c r="F38" s="53">
        <v>44572</v>
      </c>
      <c r="G38" s="17" t="s">
        <v>26</v>
      </c>
      <c r="H38" s="17" t="s">
        <v>8</v>
      </c>
      <c r="I38" s="109" t="s">
        <v>28</v>
      </c>
      <c r="J38" s="6"/>
      <c r="K38" s="6"/>
      <c r="L38" s="6"/>
      <c r="M38" s="84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</row>
    <row r="39" spans="1:35" ht="13.5" customHeight="1">
      <c r="A39" s="108">
        <v>38</v>
      </c>
      <c r="B39" s="55" t="s">
        <v>104</v>
      </c>
      <c r="C39" s="55" t="s">
        <v>105</v>
      </c>
      <c r="D39" s="55" t="s">
        <v>7</v>
      </c>
      <c r="E39" s="80">
        <v>44558</v>
      </c>
      <c r="F39" s="53">
        <v>44572</v>
      </c>
      <c r="G39" s="17" t="s">
        <v>26</v>
      </c>
      <c r="H39" s="17" t="s">
        <v>27</v>
      </c>
      <c r="I39" s="109" t="s">
        <v>28</v>
      </c>
      <c r="J39" s="6"/>
      <c r="K39" s="6"/>
      <c r="L39" s="6"/>
      <c r="M39" s="84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</row>
    <row r="40" spans="1:35" ht="13.5" customHeight="1">
      <c r="A40" s="108">
        <v>39</v>
      </c>
      <c r="B40" s="55" t="s">
        <v>106</v>
      </c>
      <c r="C40" s="55" t="s">
        <v>107</v>
      </c>
      <c r="D40" s="55" t="s">
        <v>7</v>
      </c>
      <c r="E40" s="80">
        <v>44549</v>
      </c>
      <c r="F40" s="53">
        <v>44572</v>
      </c>
      <c r="G40" s="17" t="s">
        <v>26</v>
      </c>
      <c r="H40" s="17" t="s">
        <v>8</v>
      </c>
      <c r="I40" s="110" t="s">
        <v>36</v>
      </c>
      <c r="J40" s="6"/>
      <c r="K40" s="6"/>
      <c r="L40" s="6"/>
      <c r="M40" s="84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</row>
    <row r="41" spans="1:35" ht="13.5" customHeight="1">
      <c r="A41" s="108">
        <v>40</v>
      </c>
      <c r="B41" s="55" t="s">
        <v>108</v>
      </c>
      <c r="C41" s="55" t="s">
        <v>109</v>
      </c>
      <c r="D41" s="55" t="s">
        <v>7</v>
      </c>
      <c r="E41" s="70">
        <v>44544</v>
      </c>
      <c r="F41" s="53">
        <v>44572</v>
      </c>
      <c r="G41" s="17" t="s">
        <v>26</v>
      </c>
      <c r="H41" s="17" t="s">
        <v>27</v>
      </c>
      <c r="I41" s="109" t="s">
        <v>28</v>
      </c>
      <c r="J41" s="6"/>
      <c r="K41" s="6"/>
      <c r="L41" s="6"/>
      <c r="M41" s="84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</row>
    <row r="42" spans="1:35" ht="13.5" customHeight="1">
      <c r="A42" s="108">
        <v>41</v>
      </c>
      <c r="B42" s="55" t="s">
        <v>110</v>
      </c>
      <c r="C42" s="55" t="s">
        <v>111</v>
      </c>
      <c r="D42" s="55" t="s">
        <v>7</v>
      </c>
      <c r="E42" s="80">
        <v>44550</v>
      </c>
      <c r="F42" s="53">
        <v>44572</v>
      </c>
      <c r="G42" s="17" t="s">
        <v>26</v>
      </c>
      <c r="H42" s="17" t="s">
        <v>27</v>
      </c>
      <c r="I42" s="110" t="s">
        <v>36</v>
      </c>
      <c r="J42" s="6"/>
      <c r="K42" s="6"/>
      <c r="L42" s="6"/>
      <c r="M42" s="84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</row>
    <row r="43" spans="1:35" ht="13.5" customHeight="1">
      <c r="A43" s="108">
        <v>42</v>
      </c>
      <c r="B43" s="55" t="s">
        <v>112</v>
      </c>
      <c r="C43" s="55" t="s">
        <v>113</v>
      </c>
      <c r="D43" s="55" t="s">
        <v>7</v>
      </c>
      <c r="E43" s="80">
        <v>44551</v>
      </c>
      <c r="F43" s="53">
        <v>44572</v>
      </c>
      <c r="G43" s="17" t="s">
        <v>26</v>
      </c>
      <c r="H43" s="17" t="s">
        <v>8</v>
      </c>
      <c r="I43" s="109" t="s">
        <v>28</v>
      </c>
      <c r="J43" s="6"/>
      <c r="K43" s="6"/>
      <c r="L43" s="6"/>
      <c r="M43" s="84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</row>
    <row r="44" spans="1:35" ht="13.5" customHeight="1">
      <c r="A44" s="108">
        <v>43</v>
      </c>
      <c r="B44" s="55" t="s">
        <v>114</v>
      </c>
      <c r="C44" s="55" t="s">
        <v>115</v>
      </c>
      <c r="D44" s="55" t="s">
        <v>7</v>
      </c>
      <c r="E44" s="70">
        <v>44563</v>
      </c>
      <c r="F44" s="53">
        <v>44572</v>
      </c>
      <c r="G44" s="17" t="s">
        <v>35</v>
      </c>
      <c r="H44" s="17" t="s">
        <v>8</v>
      </c>
      <c r="I44" s="110" t="s">
        <v>36</v>
      </c>
      <c r="J44" s="6"/>
      <c r="K44" s="6"/>
      <c r="L44" s="6"/>
      <c r="M44" s="84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</row>
    <row r="45" spans="1:35" ht="13.5" customHeight="1">
      <c r="A45" s="108">
        <v>44</v>
      </c>
      <c r="B45" s="55" t="s">
        <v>116</v>
      </c>
      <c r="C45" s="55" t="s">
        <v>117</v>
      </c>
      <c r="D45" s="55" t="s">
        <v>7</v>
      </c>
      <c r="E45" s="70">
        <v>44565</v>
      </c>
      <c r="F45" s="53">
        <v>44572</v>
      </c>
      <c r="G45" s="17" t="s">
        <v>35</v>
      </c>
      <c r="H45" s="17" t="s">
        <v>8</v>
      </c>
      <c r="I45" s="110" t="s">
        <v>36</v>
      </c>
      <c r="J45" s="6"/>
      <c r="K45" s="6"/>
      <c r="L45" s="6"/>
      <c r="M45" s="84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</row>
    <row r="46" spans="1:35" ht="13.5" customHeight="1">
      <c r="A46" s="108">
        <v>45</v>
      </c>
      <c r="B46" s="55" t="s">
        <v>118</v>
      </c>
      <c r="C46" s="55" t="s">
        <v>119</v>
      </c>
      <c r="D46" s="55" t="s">
        <v>7</v>
      </c>
      <c r="E46" s="70">
        <v>44567</v>
      </c>
      <c r="F46" s="54" t="s">
        <v>47</v>
      </c>
      <c r="G46" s="17" t="s">
        <v>26</v>
      </c>
      <c r="H46" s="17" t="s">
        <v>27</v>
      </c>
      <c r="I46" s="110" t="s">
        <v>65</v>
      </c>
      <c r="J46" s="6"/>
      <c r="K46" s="6"/>
      <c r="L46" s="6"/>
      <c r="M46" s="84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</row>
    <row r="47" spans="1:35" ht="13.5" customHeight="1">
      <c r="A47" s="108">
        <v>46</v>
      </c>
      <c r="B47" s="55" t="s">
        <v>120</v>
      </c>
      <c r="C47" s="55" t="s">
        <v>121</v>
      </c>
      <c r="D47" s="55" t="s">
        <v>7</v>
      </c>
      <c r="E47" s="70">
        <v>44571</v>
      </c>
      <c r="F47" s="53">
        <v>44572</v>
      </c>
      <c r="G47" s="17" t="s">
        <v>35</v>
      </c>
      <c r="H47" s="17" t="s">
        <v>8</v>
      </c>
      <c r="I47" s="110" t="s">
        <v>36</v>
      </c>
      <c r="J47" s="6"/>
      <c r="K47" s="6"/>
      <c r="L47" s="6"/>
      <c r="M47" s="84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</row>
    <row r="48" spans="1:35" ht="13.5" customHeight="1">
      <c r="A48" s="108">
        <v>47</v>
      </c>
      <c r="B48" s="55" t="s">
        <v>122</v>
      </c>
      <c r="C48" s="55" t="s">
        <v>123</v>
      </c>
      <c r="D48" s="55" t="s">
        <v>7</v>
      </c>
      <c r="E48" s="70"/>
      <c r="F48" s="55"/>
      <c r="G48" s="17" t="s">
        <v>26</v>
      </c>
      <c r="H48" s="17" t="s">
        <v>8</v>
      </c>
      <c r="I48" s="110" t="s">
        <v>65</v>
      </c>
      <c r="J48" s="6"/>
      <c r="K48" s="6"/>
      <c r="L48" s="6"/>
      <c r="M48" s="57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</row>
    <row r="49" spans="1:35" ht="13.5" customHeight="1">
      <c r="A49" s="108">
        <v>48</v>
      </c>
      <c r="B49" s="55" t="s">
        <v>124</v>
      </c>
      <c r="C49" s="55" t="s">
        <v>125</v>
      </c>
      <c r="D49" s="55" t="s">
        <v>7</v>
      </c>
      <c r="E49" s="70">
        <v>44577</v>
      </c>
      <c r="F49" s="54" t="s">
        <v>47</v>
      </c>
      <c r="G49" s="17" t="s">
        <v>26</v>
      </c>
      <c r="H49" s="17" t="s">
        <v>27</v>
      </c>
      <c r="I49" s="110" t="s">
        <v>65</v>
      </c>
      <c r="J49" s="6"/>
      <c r="K49" s="6"/>
      <c r="L49" s="6"/>
      <c r="M49" s="82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</row>
    <row r="50" spans="1:35" ht="13.5" customHeight="1">
      <c r="A50" s="116">
        <v>49</v>
      </c>
      <c r="B50" s="117" t="s">
        <v>126</v>
      </c>
      <c r="C50" s="117" t="s">
        <v>127</v>
      </c>
      <c r="D50" s="117" t="s">
        <v>7</v>
      </c>
      <c r="E50" s="118">
        <v>44556</v>
      </c>
      <c r="F50" s="118">
        <v>44574</v>
      </c>
      <c r="G50" s="119" t="s">
        <v>26</v>
      </c>
      <c r="H50" s="120" t="s">
        <v>27</v>
      </c>
      <c r="I50" s="121" t="s">
        <v>36</v>
      </c>
      <c r="J50" s="6"/>
      <c r="K50" s="6"/>
      <c r="L50" s="6"/>
      <c r="M50" s="82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</row>
    <row r="51" spans="1:35" ht="13.5" customHeight="1">
      <c r="A51" s="55"/>
      <c r="B51" s="55"/>
      <c r="C51" s="55"/>
      <c r="D51" s="55"/>
      <c r="E51" s="70"/>
      <c r="F51" s="55"/>
      <c r="G51" s="17"/>
      <c r="H51" s="17"/>
      <c r="I51" s="55"/>
      <c r="J51" s="6"/>
      <c r="K51" s="6"/>
      <c r="L51" s="6"/>
      <c r="M51" s="82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</row>
    <row r="52" spans="1:35" ht="13.5" customHeight="1">
      <c r="A52" s="55"/>
      <c r="B52" s="55"/>
      <c r="C52" s="55"/>
      <c r="D52" s="55"/>
      <c r="E52" s="70"/>
      <c r="F52" s="55"/>
      <c r="G52" s="17"/>
      <c r="H52" s="17"/>
      <c r="I52" s="55"/>
      <c r="J52" s="6"/>
      <c r="K52" s="6"/>
      <c r="L52" s="6"/>
      <c r="M52" s="82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</row>
    <row r="53" spans="1:35" ht="13.5" customHeight="1">
      <c r="A53" s="55"/>
      <c r="B53" s="55"/>
      <c r="C53" s="55"/>
      <c r="D53" s="55"/>
      <c r="E53" s="70"/>
      <c r="F53" s="55"/>
      <c r="G53" s="17"/>
      <c r="H53" s="17"/>
      <c r="I53" s="55"/>
      <c r="J53" s="6"/>
      <c r="K53" s="6"/>
      <c r="L53" s="6"/>
      <c r="M53" s="82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</row>
    <row r="54" spans="1:35" ht="13.5" customHeight="1">
      <c r="A54" s="55"/>
      <c r="B54" s="55"/>
      <c r="C54" s="55"/>
      <c r="D54" s="55"/>
      <c r="E54" s="70"/>
      <c r="F54" s="55"/>
      <c r="G54" s="17"/>
      <c r="H54" s="17"/>
      <c r="I54" s="55"/>
      <c r="J54" s="6"/>
      <c r="K54" s="6"/>
      <c r="L54" s="6"/>
      <c r="M54" s="82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</row>
    <row r="55" spans="1:35" ht="13.5" customHeight="1">
      <c r="A55" s="55"/>
      <c r="B55" s="55"/>
      <c r="C55" s="55"/>
      <c r="D55" s="55"/>
      <c r="E55" s="70"/>
      <c r="F55" s="55"/>
      <c r="G55" s="17"/>
      <c r="H55" s="17"/>
      <c r="I55" s="55"/>
      <c r="J55" s="6"/>
      <c r="K55" s="6"/>
      <c r="L55" s="6"/>
      <c r="M55" s="82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</row>
    <row r="56" spans="1:35" ht="13.5" customHeight="1">
      <c r="A56" s="55"/>
      <c r="B56" s="55"/>
      <c r="C56" s="55"/>
      <c r="D56" s="55"/>
      <c r="E56" s="70"/>
      <c r="F56" s="55"/>
      <c r="G56" s="17"/>
      <c r="H56" s="17"/>
      <c r="I56" s="55"/>
      <c r="J56" s="6"/>
      <c r="K56" s="6"/>
      <c r="L56" s="6"/>
      <c r="M56" s="82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</row>
    <row r="57" spans="1:35" ht="13.5" customHeight="1">
      <c r="A57" s="55"/>
      <c r="B57" s="55"/>
      <c r="C57" s="55"/>
      <c r="D57" s="55"/>
      <c r="E57" s="70"/>
      <c r="F57" s="55"/>
      <c r="G57" s="17"/>
      <c r="H57" s="17"/>
      <c r="I57" s="55"/>
      <c r="J57" s="6"/>
      <c r="K57" s="6"/>
      <c r="L57" s="6"/>
      <c r="M57" s="82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</row>
    <row r="58" spans="1:35" ht="13.5" customHeight="1">
      <c r="A58" s="55"/>
      <c r="B58" s="55"/>
      <c r="C58" s="55"/>
      <c r="D58" s="55"/>
      <c r="E58" s="70"/>
      <c r="F58" s="55"/>
      <c r="G58" s="17"/>
      <c r="H58" s="17"/>
      <c r="I58" s="55"/>
      <c r="J58" s="6"/>
      <c r="K58" s="6"/>
      <c r="L58" s="6"/>
      <c r="M58" s="82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</row>
    <row r="59" spans="1:35" ht="13.5" customHeight="1">
      <c r="A59" s="55"/>
      <c r="B59" s="55"/>
      <c r="C59" s="55"/>
      <c r="D59" s="55"/>
      <c r="E59" s="70"/>
      <c r="F59" s="55"/>
      <c r="G59" s="17"/>
      <c r="H59" s="17"/>
      <c r="I59" s="55"/>
      <c r="J59" s="6"/>
      <c r="K59" s="6"/>
      <c r="L59" s="6"/>
      <c r="M59" s="82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</row>
    <row r="60" spans="1:35" ht="13.5" customHeight="1">
      <c r="A60" s="55"/>
      <c r="B60" s="55"/>
      <c r="C60" s="55"/>
      <c r="D60" s="55"/>
      <c r="E60" s="70"/>
      <c r="F60" s="55"/>
      <c r="G60" s="17"/>
      <c r="H60" s="17"/>
      <c r="I60" s="55"/>
      <c r="J60" s="6"/>
      <c r="K60" s="6"/>
      <c r="L60" s="6"/>
      <c r="M60" s="82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</row>
    <row r="61" spans="1:35" ht="13.5" customHeight="1">
      <c r="A61" s="55"/>
      <c r="B61" s="55"/>
      <c r="C61" s="55"/>
      <c r="D61" s="55"/>
      <c r="E61" s="70"/>
      <c r="F61" s="55"/>
      <c r="G61" s="17"/>
      <c r="H61" s="17"/>
      <c r="I61" s="55"/>
      <c r="J61" s="6"/>
      <c r="K61" s="6"/>
      <c r="L61" s="6"/>
      <c r="M61" s="82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</row>
    <row r="62" spans="1:35" ht="13.5" customHeight="1">
      <c r="A62" s="55"/>
      <c r="B62" s="55"/>
      <c r="C62" s="55"/>
      <c r="D62" s="55"/>
      <c r="E62" s="70"/>
      <c r="F62" s="55"/>
      <c r="G62" s="17"/>
      <c r="H62" s="17"/>
      <c r="I62" s="55"/>
      <c r="J62" s="6"/>
      <c r="K62" s="6"/>
      <c r="L62" s="6"/>
      <c r="M62" s="82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</row>
    <row r="63" spans="1:35" ht="13.5" customHeight="1">
      <c r="A63" s="55"/>
      <c r="B63" s="55"/>
      <c r="C63" s="55"/>
      <c r="D63" s="55"/>
      <c r="E63" s="70"/>
      <c r="F63" s="55"/>
      <c r="G63" s="17"/>
      <c r="H63" s="17"/>
      <c r="I63" s="55"/>
      <c r="J63" s="6"/>
      <c r="K63" s="6"/>
      <c r="L63" s="6"/>
      <c r="M63" s="82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</row>
    <row r="64" spans="1:35" ht="13.5" customHeight="1">
      <c r="A64" s="55"/>
      <c r="B64" s="55"/>
      <c r="C64" s="55"/>
      <c r="D64" s="55"/>
      <c r="E64" s="70"/>
      <c r="F64" s="55"/>
      <c r="G64" s="17"/>
      <c r="H64" s="17"/>
      <c r="I64" s="55"/>
      <c r="J64" s="6"/>
      <c r="K64" s="6"/>
      <c r="L64" s="6"/>
      <c r="M64" s="82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</row>
    <row r="65" spans="1:35" ht="13.5" customHeight="1">
      <c r="A65" s="55"/>
      <c r="B65" s="55"/>
      <c r="C65" s="55"/>
      <c r="D65" s="55"/>
      <c r="E65" s="70"/>
      <c r="F65" s="55"/>
      <c r="G65" s="17"/>
      <c r="H65" s="17"/>
      <c r="I65" s="55"/>
      <c r="J65" s="6"/>
      <c r="K65" s="6"/>
      <c r="L65" s="6"/>
      <c r="M65" s="82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</row>
    <row r="66" spans="1:35" ht="13.5" customHeight="1">
      <c r="A66" s="55"/>
      <c r="B66" s="55"/>
      <c r="C66" s="55"/>
      <c r="D66" s="55"/>
      <c r="E66" s="70"/>
      <c r="F66" s="55"/>
      <c r="G66" s="17"/>
      <c r="H66" s="17"/>
      <c r="I66" s="55"/>
      <c r="J66" s="6"/>
      <c r="K66" s="6"/>
      <c r="L66" s="6"/>
      <c r="M66" s="82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</row>
    <row r="67" spans="1:35" ht="13.5" customHeight="1">
      <c r="A67" s="55"/>
      <c r="B67" s="55"/>
      <c r="C67" s="55"/>
      <c r="D67" s="55"/>
      <c r="E67" s="70"/>
      <c r="F67" s="55"/>
      <c r="G67" s="17"/>
      <c r="H67" s="17"/>
      <c r="I67" s="55"/>
      <c r="J67" s="6"/>
      <c r="K67" s="6"/>
      <c r="L67" s="6"/>
      <c r="M67" s="82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</row>
    <row r="68" spans="1:35" ht="13.5" customHeight="1">
      <c r="A68" s="55"/>
      <c r="B68" s="55"/>
      <c r="C68" s="55"/>
      <c r="D68" s="55"/>
      <c r="E68" s="70"/>
      <c r="F68" s="55"/>
      <c r="G68" s="17"/>
      <c r="H68" s="17"/>
      <c r="I68" s="55"/>
      <c r="J68" s="6"/>
      <c r="K68" s="6"/>
      <c r="L68" s="6"/>
      <c r="M68" s="82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</row>
    <row r="69" spans="1:35" ht="13.5" customHeight="1">
      <c r="A69" s="55"/>
      <c r="B69" s="55"/>
      <c r="C69" s="55"/>
      <c r="D69" s="55"/>
      <c r="E69" s="70"/>
      <c r="F69" s="55"/>
      <c r="G69" s="17"/>
      <c r="H69" s="17"/>
      <c r="I69" s="55"/>
      <c r="J69" s="6"/>
      <c r="K69" s="6"/>
      <c r="L69" s="6"/>
      <c r="M69" s="82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</row>
    <row r="70" spans="1:35" ht="13.5" customHeight="1">
      <c r="A70" s="55"/>
      <c r="B70" s="55"/>
      <c r="C70" s="55"/>
      <c r="D70" s="55"/>
      <c r="E70" s="70"/>
      <c r="F70" s="55"/>
      <c r="G70" s="17"/>
      <c r="H70" s="17"/>
      <c r="I70" s="55"/>
      <c r="J70" s="6"/>
      <c r="K70" s="6"/>
      <c r="L70" s="6"/>
      <c r="M70" s="82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</row>
    <row r="71" spans="1:35" ht="13.5" customHeight="1">
      <c r="A71" s="55"/>
      <c r="B71" s="55"/>
      <c r="C71" s="55"/>
      <c r="D71" s="55"/>
      <c r="E71" s="70"/>
      <c r="F71" s="55"/>
      <c r="G71" s="17"/>
      <c r="H71" s="17"/>
      <c r="I71" s="55"/>
      <c r="J71" s="6"/>
      <c r="K71" s="6"/>
      <c r="L71" s="6"/>
      <c r="M71" s="82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</row>
    <row r="72" spans="1:35" ht="13.5" customHeight="1">
      <c r="A72" s="55"/>
      <c r="B72" s="55"/>
      <c r="C72" s="55"/>
      <c r="D72" s="55"/>
      <c r="E72" s="70"/>
      <c r="F72" s="55"/>
      <c r="G72" s="17"/>
      <c r="H72" s="17"/>
      <c r="I72" s="55"/>
      <c r="J72" s="6"/>
      <c r="K72" s="6"/>
      <c r="L72" s="6"/>
      <c r="M72" s="82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</row>
    <row r="73" spans="1:35" ht="13.5" customHeight="1">
      <c r="A73" s="55"/>
      <c r="B73" s="55"/>
      <c r="C73" s="55"/>
      <c r="D73" s="55"/>
      <c r="E73" s="70"/>
      <c r="F73" s="55"/>
      <c r="G73" s="17"/>
      <c r="H73" s="17"/>
      <c r="I73" s="55"/>
      <c r="J73" s="6"/>
      <c r="K73" s="6"/>
      <c r="L73" s="6"/>
      <c r="M73" s="82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</row>
    <row r="74" spans="1:35" ht="13.5" customHeight="1">
      <c r="A74" s="55"/>
      <c r="B74" s="55"/>
      <c r="C74" s="55"/>
      <c r="D74" s="55"/>
      <c r="E74" s="70"/>
      <c r="F74" s="55"/>
      <c r="G74" s="17"/>
      <c r="H74" s="17"/>
      <c r="I74" s="55"/>
      <c r="J74" s="6"/>
      <c r="K74" s="6"/>
      <c r="L74" s="6"/>
      <c r="M74" s="82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</row>
    <row r="75" spans="1:35" ht="13.5" customHeight="1">
      <c r="A75" s="55"/>
      <c r="B75" s="55"/>
      <c r="C75" s="55"/>
      <c r="D75" s="55"/>
      <c r="E75" s="70"/>
      <c r="F75" s="55"/>
      <c r="G75" s="17"/>
      <c r="H75" s="17"/>
      <c r="I75" s="55"/>
      <c r="J75" s="6"/>
      <c r="K75" s="6"/>
      <c r="L75" s="6"/>
      <c r="M75" s="82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</row>
    <row r="76" spans="1:35" ht="13.5" customHeight="1">
      <c r="A76" s="55"/>
      <c r="B76" s="55"/>
      <c r="C76" s="55"/>
      <c r="D76" s="55"/>
      <c r="E76" s="70"/>
      <c r="F76" s="55"/>
      <c r="G76" s="17"/>
      <c r="H76" s="17"/>
      <c r="I76" s="55"/>
      <c r="J76" s="6"/>
      <c r="K76" s="6"/>
      <c r="L76" s="6"/>
      <c r="M76" s="82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</row>
    <row r="77" spans="1:35" ht="13.5" customHeight="1">
      <c r="A77" s="55"/>
      <c r="B77" s="55"/>
      <c r="C77" s="55"/>
      <c r="D77" s="55"/>
      <c r="E77" s="70"/>
      <c r="F77" s="55"/>
      <c r="G77" s="17"/>
      <c r="H77" s="17"/>
      <c r="I77" s="55"/>
      <c r="J77" s="6"/>
      <c r="K77" s="6"/>
      <c r="L77" s="6"/>
      <c r="M77" s="82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</row>
    <row r="78" spans="1:35" ht="13.5" customHeight="1">
      <c r="A78" s="55"/>
      <c r="B78" s="55"/>
      <c r="C78" s="55"/>
      <c r="D78" s="55"/>
      <c r="E78" s="70"/>
      <c r="F78" s="55"/>
      <c r="G78" s="17"/>
      <c r="H78" s="17"/>
      <c r="I78" s="55"/>
      <c r="J78" s="6"/>
      <c r="K78" s="6"/>
      <c r="L78" s="6"/>
      <c r="M78" s="82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</row>
    <row r="79" spans="1:35" ht="13.5" customHeight="1">
      <c r="A79" s="55"/>
      <c r="B79" s="55"/>
      <c r="C79" s="55"/>
      <c r="D79" s="55"/>
      <c r="E79" s="70"/>
      <c r="F79" s="55"/>
      <c r="G79" s="17"/>
      <c r="H79" s="17"/>
      <c r="I79" s="55"/>
      <c r="J79" s="6"/>
      <c r="K79" s="6"/>
      <c r="L79" s="6"/>
      <c r="M79" s="82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</row>
    <row r="80" spans="1:35" ht="13.5" customHeight="1">
      <c r="A80" s="55"/>
      <c r="B80" s="55"/>
      <c r="C80" s="55"/>
      <c r="D80" s="55"/>
      <c r="E80" s="70"/>
      <c r="F80" s="55"/>
      <c r="G80" s="17"/>
      <c r="H80" s="17"/>
      <c r="I80" s="55"/>
      <c r="J80" s="6"/>
      <c r="K80" s="6"/>
      <c r="L80" s="6"/>
      <c r="M80" s="82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</row>
    <row r="81" spans="1:35" ht="13.5" customHeight="1">
      <c r="A81" s="55"/>
      <c r="B81" s="55"/>
      <c r="C81" s="55"/>
      <c r="D81" s="55"/>
      <c r="E81" s="70"/>
      <c r="F81" s="55"/>
      <c r="G81" s="17"/>
      <c r="H81" s="17"/>
      <c r="I81" s="55"/>
      <c r="J81" s="6"/>
      <c r="K81" s="6"/>
      <c r="L81" s="6"/>
      <c r="M81" s="82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</row>
    <row r="82" spans="1:35" ht="13.5" customHeight="1">
      <c r="A82" s="55"/>
      <c r="B82" s="55"/>
      <c r="C82" s="55"/>
      <c r="D82" s="55"/>
      <c r="E82" s="70"/>
      <c r="F82" s="55"/>
      <c r="G82" s="17"/>
      <c r="H82" s="17"/>
      <c r="I82" s="55"/>
      <c r="J82" s="6"/>
      <c r="K82" s="6"/>
      <c r="L82" s="6"/>
      <c r="M82" s="82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</row>
    <row r="83" spans="1:35" ht="13.5" customHeight="1">
      <c r="A83" s="55"/>
      <c r="B83" s="55"/>
      <c r="C83" s="55"/>
      <c r="D83" s="55"/>
      <c r="E83" s="70"/>
      <c r="F83" s="55"/>
      <c r="G83" s="17"/>
      <c r="H83" s="17"/>
      <c r="I83" s="55"/>
      <c r="J83" s="6"/>
      <c r="K83" s="6"/>
      <c r="L83" s="6"/>
      <c r="M83" s="82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</row>
    <row r="84" spans="1:35" ht="13.5" customHeight="1">
      <c r="A84" s="55"/>
      <c r="B84" s="55"/>
      <c r="C84" s="55"/>
      <c r="D84" s="55"/>
      <c r="E84" s="70"/>
      <c r="F84" s="55"/>
      <c r="G84" s="17"/>
      <c r="H84" s="17"/>
      <c r="I84" s="55"/>
      <c r="J84" s="6"/>
      <c r="K84" s="6"/>
      <c r="L84" s="6"/>
      <c r="M84" s="82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</row>
    <row r="85" spans="1:35" ht="13.5" customHeight="1">
      <c r="A85" s="55"/>
      <c r="B85" s="55"/>
      <c r="C85" s="55"/>
      <c r="D85" s="55"/>
      <c r="E85" s="70"/>
      <c r="F85" s="55"/>
      <c r="G85" s="17"/>
      <c r="H85" s="17"/>
      <c r="I85" s="55"/>
      <c r="J85" s="6"/>
      <c r="K85" s="6"/>
      <c r="L85" s="6"/>
      <c r="M85" s="82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</row>
    <row r="86" spans="1:35" ht="13.5" customHeight="1">
      <c r="A86" s="55"/>
      <c r="B86" s="55"/>
      <c r="C86" s="55"/>
      <c r="D86" s="55"/>
      <c r="E86" s="70"/>
      <c r="F86" s="55"/>
      <c r="G86" s="17"/>
      <c r="H86" s="17"/>
      <c r="I86" s="55"/>
      <c r="J86" s="6"/>
      <c r="K86" s="6"/>
      <c r="L86" s="6"/>
      <c r="M86" s="82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</row>
    <row r="87" spans="1:35" ht="13.5" customHeight="1">
      <c r="A87" s="55"/>
      <c r="B87" s="55"/>
      <c r="C87" s="55"/>
      <c r="D87" s="55"/>
      <c r="E87" s="70"/>
      <c r="F87" s="55"/>
      <c r="G87" s="17"/>
      <c r="H87" s="17"/>
      <c r="I87" s="55"/>
      <c r="J87" s="6"/>
      <c r="K87" s="6"/>
      <c r="L87" s="6"/>
      <c r="M87" s="82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</row>
    <row r="88" spans="1:35" ht="13.5" customHeight="1">
      <c r="A88" s="55"/>
      <c r="B88" s="55"/>
      <c r="C88" s="55"/>
      <c r="D88" s="55"/>
      <c r="E88" s="70"/>
      <c r="F88" s="55"/>
      <c r="G88" s="17"/>
      <c r="H88" s="17"/>
      <c r="I88" s="55"/>
      <c r="J88" s="6"/>
      <c r="K88" s="6"/>
      <c r="L88" s="6"/>
      <c r="M88" s="82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</row>
    <row r="89" spans="1:35" ht="13.5" customHeight="1">
      <c r="A89" s="55"/>
      <c r="B89" s="55"/>
      <c r="C89" s="55"/>
      <c r="D89" s="55"/>
      <c r="E89" s="70"/>
      <c r="F89" s="55"/>
      <c r="G89" s="17"/>
      <c r="H89" s="17"/>
      <c r="I89" s="55"/>
      <c r="J89" s="6"/>
      <c r="K89" s="6"/>
      <c r="L89" s="6"/>
      <c r="M89" s="82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</row>
    <row r="90" spans="1:35" ht="13.5" customHeight="1">
      <c r="A90" s="55"/>
      <c r="B90" s="55"/>
      <c r="C90" s="55"/>
      <c r="D90" s="55"/>
      <c r="E90" s="70"/>
      <c r="F90" s="55"/>
      <c r="G90" s="17"/>
      <c r="H90" s="17"/>
      <c r="I90" s="55"/>
      <c r="J90" s="6"/>
      <c r="K90" s="6"/>
      <c r="L90" s="6"/>
      <c r="M90" s="82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</row>
    <row r="91" spans="1:35" ht="13.5" customHeight="1">
      <c r="A91" s="55"/>
      <c r="B91" s="55"/>
      <c r="C91" s="55"/>
      <c r="D91" s="55"/>
      <c r="E91" s="70"/>
      <c r="F91" s="55"/>
      <c r="G91" s="17"/>
      <c r="H91" s="17"/>
      <c r="I91" s="55"/>
      <c r="J91" s="6"/>
      <c r="K91" s="6"/>
      <c r="L91" s="6"/>
      <c r="M91" s="82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</row>
    <row r="92" spans="1:35" ht="13.5" customHeight="1">
      <c r="A92" s="55"/>
      <c r="B92" s="55"/>
      <c r="C92" s="55"/>
      <c r="D92" s="55"/>
      <c r="E92" s="70"/>
      <c r="F92" s="55"/>
      <c r="G92" s="17"/>
      <c r="H92" s="17"/>
      <c r="I92" s="55"/>
      <c r="J92" s="6"/>
      <c r="K92" s="6"/>
      <c r="L92" s="6"/>
      <c r="M92" s="82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</row>
    <row r="93" spans="1:35" ht="13.5" customHeight="1">
      <c r="A93" s="55"/>
      <c r="B93" s="55"/>
      <c r="C93" s="55"/>
      <c r="D93" s="55"/>
      <c r="E93" s="70"/>
      <c r="F93" s="55"/>
      <c r="G93" s="17"/>
      <c r="H93" s="17"/>
      <c r="I93" s="55"/>
      <c r="J93" s="6"/>
      <c r="K93" s="6"/>
      <c r="L93" s="6"/>
      <c r="M93" s="82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</row>
    <row r="94" spans="1:35" ht="13.5" customHeight="1">
      <c r="A94" s="55"/>
      <c r="B94" s="55"/>
      <c r="C94" s="55"/>
      <c r="D94" s="55"/>
      <c r="E94" s="70"/>
      <c r="F94" s="55"/>
      <c r="G94" s="17"/>
      <c r="H94" s="17"/>
      <c r="I94" s="55"/>
      <c r="J94" s="6"/>
      <c r="K94" s="6"/>
      <c r="L94" s="6"/>
      <c r="M94" s="82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</row>
    <row r="95" spans="1:35" ht="13.5" customHeight="1">
      <c r="A95" s="55"/>
      <c r="B95" s="55"/>
      <c r="C95" s="55"/>
      <c r="D95" s="55"/>
      <c r="E95" s="70"/>
      <c r="F95" s="55"/>
      <c r="G95" s="17"/>
      <c r="H95" s="17"/>
      <c r="I95" s="55"/>
      <c r="J95" s="6"/>
      <c r="K95" s="6"/>
      <c r="L95" s="6"/>
      <c r="M95" s="82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</row>
    <row r="96" spans="1:35" ht="13.5" customHeight="1">
      <c r="A96" s="55"/>
      <c r="B96" s="55"/>
      <c r="C96" s="55"/>
      <c r="D96" s="55"/>
      <c r="E96" s="70"/>
      <c r="F96" s="55"/>
      <c r="G96" s="17"/>
      <c r="H96" s="17"/>
      <c r="I96" s="55"/>
      <c r="J96" s="6"/>
      <c r="K96" s="6"/>
      <c r="L96" s="6"/>
      <c r="M96" s="82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1:35" ht="13.5" customHeight="1">
      <c r="A97" s="55"/>
      <c r="B97" s="55"/>
      <c r="C97" s="55"/>
      <c r="D97" s="55"/>
      <c r="E97" s="70"/>
      <c r="F97" s="55"/>
      <c r="G97" s="17"/>
      <c r="H97" s="17"/>
      <c r="I97" s="55"/>
      <c r="J97" s="6"/>
      <c r="K97" s="6"/>
      <c r="L97" s="6"/>
      <c r="M97" s="82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1:35" ht="13.5" customHeight="1">
      <c r="A98" s="55"/>
      <c r="B98" s="55"/>
      <c r="C98" s="55"/>
      <c r="D98" s="55"/>
      <c r="E98" s="70"/>
      <c r="F98" s="55"/>
      <c r="G98" s="17"/>
      <c r="H98" s="17"/>
      <c r="I98" s="55"/>
      <c r="J98" s="6"/>
      <c r="K98" s="6"/>
      <c r="L98" s="6"/>
      <c r="M98" s="82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1:35" ht="13.5" customHeight="1">
      <c r="A99" s="55"/>
      <c r="B99" s="55"/>
      <c r="C99" s="55"/>
      <c r="D99" s="55"/>
      <c r="E99" s="70"/>
      <c r="F99" s="55"/>
      <c r="G99" s="17"/>
      <c r="H99" s="17"/>
      <c r="I99" s="55"/>
      <c r="J99" s="6"/>
      <c r="K99" s="6"/>
      <c r="L99" s="6"/>
      <c r="M99" s="82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</row>
    <row r="100" spans="1:35" ht="13.5" customHeight="1">
      <c r="A100" s="55"/>
      <c r="B100" s="55"/>
      <c r="C100" s="55"/>
      <c r="D100" s="55"/>
      <c r="E100" s="70"/>
      <c r="F100" s="55"/>
      <c r="G100" s="17"/>
      <c r="H100" s="17"/>
      <c r="I100" s="55"/>
      <c r="J100" s="6"/>
      <c r="K100" s="6"/>
      <c r="L100" s="6"/>
      <c r="M100" s="82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</row>
    <row r="101" spans="1:35" ht="13.5" customHeight="1">
      <c r="A101" s="55"/>
      <c r="B101" s="55"/>
      <c r="C101" s="55"/>
      <c r="D101" s="55"/>
      <c r="E101" s="70"/>
      <c r="F101" s="55"/>
      <c r="G101" s="17"/>
      <c r="H101" s="17"/>
      <c r="I101" s="55"/>
      <c r="J101" s="6"/>
      <c r="K101" s="6"/>
      <c r="L101" s="6"/>
      <c r="M101" s="82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</row>
    <row r="102" spans="1:35" ht="13.5" customHeight="1">
      <c r="A102" s="55"/>
      <c r="B102" s="55"/>
      <c r="C102" s="55"/>
      <c r="D102" s="55"/>
      <c r="E102" s="70"/>
      <c r="F102" s="55"/>
      <c r="G102" s="17"/>
      <c r="H102" s="17"/>
      <c r="I102" s="55"/>
      <c r="J102" s="6"/>
      <c r="K102" s="6"/>
      <c r="L102" s="6"/>
      <c r="M102" s="82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</row>
    <row r="103" spans="1:35" ht="13.5" customHeight="1">
      <c r="A103" s="55"/>
      <c r="B103" s="55"/>
      <c r="C103" s="55"/>
      <c r="D103" s="55"/>
      <c r="E103" s="70"/>
      <c r="F103" s="55"/>
      <c r="G103" s="17"/>
      <c r="H103" s="17"/>
      <c r="I103" s="55"/>
      <c r="J103" s="6"/>
      <c r="K103" s="6"/>
      <c r="L103" s="6"/>
      <c r="M103" s="82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</row>
    <row r="104" spans="1:35" ht="13.5" customHeight="1">
      <c r="A104" s="55"/>
      <c r="B104" s="55"/>
      <c r="C104" s="55"/>
      <c r="D104" s="55"/>
      <c r="E104" s="70"/>
      <c r="F104" s="55"/>
      <c r="G104" s="17"/>
      <c r="H104" s="17"/>
      <c r="I104" s="55"/>
      <c r="J104" s="6"/>
      <c r="K104" s="6"/>
      <c r="L104" s="6"/>
      <c r="M104" s="82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</row>
    <row r="105" spans="1:35" ht="13.5" customHeight="1">
      <c r="A105" s="55"/>
      <c r="B105" s="55"/>
      <c r="C105" s="55"/>
      <c r="D105" s="55"/>
      <c r="E105" s="70"/>
      <c r="F105" s="55"/>
      <c r="G105" s="17"/>
      <c r="H105" s="17"/>
      <c r="I105" s="55"/>
      <c r="J105" s="6"/>
      <c r="K105" s="6"/>
      <c r="L105" s="6"/>
      <c r="M105" s="82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</row>
    <row r="106" spans="1:35" ht="13.5" customHeight="1">
      <c r="A106" s="55"/>
      <c r="B106" s="55"/>
      <c r="C106" s="55"/>
      <c r="D106" s="55"/>
      <c r="E106" s="70"/>
      <c r="F106" s="55"/>
      <c r="G106" s="17"/>
      <c r="H106" s="17"/>
      <c r="I106" s="55"/>
      <c r="J106" s="6"/>
      <c r="K106" s="6"/>
      <c r="L106" s="6"/>
      <c r="M106" s="82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</row>
    <row r="107" spans="1:35" ht="13.5" customHeight="1">
      <c r="A107" s="55"/>
      <c r="B107" s="55"/>
      <c r="C107" s="55"/>
      <c r="D107" s="55"/>
      <c r="E107" s="70"/>
      <c r="F107" s="55"/>
      <c r="G107" s="17"/>
      <c r="H107" s="17"/>
      <c r="I107" s="55"/>
      <c r="J107" s="6"/>
      <c r="K107" s="6"/>
      <c r="L107" s="6"/>
      <c r="M107" s="82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</row>
    <row r="108" spans="1:35" ht="13.5" customHeight="1">
      <c r="A108" s="55"/>
      <c r="B108" s="55"/>
      <c r="C108" s="55"/>
      <c r="D108" s="55"/>
      <c r="E108" s="70"/>
      <c r="F108" s="55"/>
      <c r="G108" s="17"/>
      <c r="H108" s="17"/>
      <c r="I108" s="55"/>
      <c r="J108" s="6"/>
      <c r="K108" s="6"/>
      <c r="L108" s="6"/>
      <c r="M108" s="82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</row>
    <row r="109" spans="1:35" ht="13.5" customHeight="1">
      <c r="A109" s="55"/>
      <c r="B109" s="55"/>
      <c r="C109" s="55"/>
      <c r="D109" s="55"/>
      <c r="E109" s="70"/>
      <c r="F109" s="55"/>
      <c r="G109" s="17"/>
      <c r="H109" s="17"/>
      <c r="I109" s="55"/>
      <c r="J109" s="6"/>
      <c r="K109" s="6"/>
      <c r="L109" s="6"/>
      <c r="M109" s="82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</row>
    <row r="110" spans="1:35" ht="13.5" customHeight="1">
      <c r="A110" s="55"/>
      <c r="B110" s="55"/>
      <c r="C110" s="55"/>
      <c r="D110" s="55"/>
      <c r="E110" s="70"/>
      <c r="F110" s="55"/>
      <c r="G110" s="17"/>
      <c r="H110" s="17"/>
      <c r="I110" s="55"/>
      <c r="J110" s="6"/>
      <c r="K110" s="6"/>
      <c r="L110" s="6"/>
      <c r="M110" s="82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</row>
    <row r="111" spans="1:35" ht="13.5" customHeight="1">
      <c r="A111" s="55"/>
      <c r="B111" s="55"/>
      <c r="C111" s="55"/>
      <c r="D111" s="55"/>
      <c r="E111" s="70"/>
      <c r="F111" s="55"/>
      <c r="G111" s="17"/>
      <c r="H111" s="17"/>
      <c r="I111" s="55"/>
      <c r="J111" s="6"/>
      <c r="K111" s="6"/>
      <c r="L111" s="6"/>
      <c r="M111" s="82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</row>
    <row r="112" spans="1:35" ht="13.5" customHeight="1">
      <c r="A112" s="55"/>
      <c r="B112" s="55"/>
      <c r="C112" s="55"/>
      <c r="D112" s="55"/>
      <c r="E112" s="70"/>
      <c r="F112" s="55"/>
      <c r="G112" s="17"/>
      <c r="H112" s="17"/>
      <c r="I112" s="55"/>
      <c r="J112" s="6"/>
      <c r="K112" s="6"/>
      <c r="L112" s="6"/>
      <c r="M112" s="82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</row>
    <row r="113" spans="1:35" ht="13.5" customHeight="1">
      <c r="A113" s="55"/>
      <c r="B113" s="55"/>
      <c r="C113" s="55"/>
      <c r="D113" s="55"/>
      <c r="E113" s="70"/>
      <c r="F113" s="55"/>
      <c r="G113" s="17"/>
      <c r="H113" s="17"/>
      <c r="I113" s="55"/>
      <c r="J113" s="6"/>
      <c r="K113" s="6"/>
      <c r="L113" s="6"/>
      <c r="M113" s="82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</row>
    <row r="114" spans="1:35" ht="13.5" customHeight="1">
      <c r="A114" s="55"/>
      <c r="B114" s="55"/>
      <c r="C114" s="55"/>
      <c r="D114" s="55"/>
      <c r="E114" s="70"/>
      <c r="F114" s="55"/>
      <c r="G114" s="17"/>
      <c r="H114" s="17"/>
      <c r="I114" s="55"/>
      <c r="J114" s="6"/>
      <c r="K114" s="6"/>
      <c r="L114" s="6"/>
      <c r="M114" s="82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</row>
    <row r="115" spans="1:35" ht="13.5" customHeight="1">
      <c r="A115" s="55"/>
      <c r="B115" s="55"/>
      <c r="C115" s="55"/>
      <c r="D115" s="55"/>
      <c r="E115" s="70"/>
      <c r="F115" s="55"/>
      <c r="G115" s="17"/>
      <c r="H115" s="17"/>
      <c r="I115" s="55"/>
      <c r="J115" s="6"/>
      <c r="K115" s="6"/>
      <c r="L115" s="6"/>
      <c r="M115" s="82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</row>
    <row r="116" spans="1:35" ht="13.5" customHeight="1">
      <c r="A116" s="55"/>
      <c r="B116" s="55"/>
      <c r="C116" s="55"/>
      <c r="D116" s="55"/>
      <c r="E116" s="70"/>
      <c r="F116" s="55"/>
      <c r="G116" s="17"/>
      <c r="H116" s="17"/>
      <c r="I116" s="55"/>
      <c r="J116" s="6"/>
      <c r="K116" s="6"/>
      <c r="L116" s="6"/>
      <c r="M116" s="82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</row>
    <row r="117" spans="1:35" ht="13.5" customHeight="1">
      <c r="A117" s="55"/>
      <c r="B117" s="55"/>
      <c r="C117" s="55"/>
      <c r="D117" s="55"/>
      <c r="E117" s="70"/>
      <c r="F117" s="55"/>
      <c r="G117" s="17"/>
      <c r="H117" s="17"/>
      <c r="I117" s="55"/>
      <c r="J117" s="6"/>
      <c r="K117" s="6"/>
      <c r="L117" s="6"/>
      <c r="M117" s="82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</row>
    <row r="118" spans="1:35" ht="13.5" customHeight="1">
      <c r="A118" s="55"/>
      <c r="B118" s="55"/>
      <c r="C118" s="55"/>
      <c r="D118" s="55"/>
      <c r="E118" s="70"/>
      <c r="F118" s="55"/>
      <c r="G118" s="17"/>
      <c r="H118" s="17"/>
      <c r="I118" s="55"/>
      <c r="J118" s="6"/>
      <c r="K118" s="6"/>
      <c r="L118" s="6"/>
      <c r="M118" s="82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</row>
    <row r="119" spans="1:35" ht="13.5" customHeight="1">
      <c r="A119" s="55"/>
      <c r="B119" s="55"/>
      <c r="C119" s="55"/>
      <c r="D119" s="55"/>
      <c r="E119" s="70"/>
      <c r="F119" s="55"/>
      <c r="G119" s="17"/>
      <c r="H119" s="17"/>
      <c r="I119" s="55"/>
      <c r="J119" s="6"/>
      <c r="K119" s="6"/>
      <c r="L119" s="6"/>
      <c r="M119" s="82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</row>
    <row r="120" spans="1:35" ht="13.5" customHeight="1">
      <c r="A120" s="55"/>
      <c r="B120" s="55"/>
      <c r="C120" s="55"/>
      <c r="D120" s="55"/>
      <c r="E120" s="70"/>
      <c r="F120" s="55"/>
      <c r="G120" s="17"/>
      <c r="H120" s="17"/>
      <c r="I120" s="55"/>
      <c r="J120" s="6"/>
      <c r="K120" s="6"/>
      <c r="L120" s="6"/>
      <c r="M120" s="82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</row>
    <row r="121" spans="1:35" ht="13.5" customHeight="1">
      <c r="A121" s="55"/>
      <c r="B121" s="55"/>
      <c r="C121" s="55"/>
      <c r="D121" s="55"/>
      <c r="E121" s="70"/>
      <c r="F121" s="55"/>
      <c r="G121" s="17"/>
      <c r="H121" s="17"/>
      <c r="I121" s="55"/>
      <c r="J121" s="6"/>
      <c r="K121" s="6"/>
      <c r="L121" s="6"/>
      <c r="M121" s="82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</row>
    <row r="122" spans="1:35" ht="13.5" customHeight="1">
      <c r="A122" s="55"/>
      <c r="B122" s="55"/>
      <c r="C122" s="55"/>
      <c r="D122" s="55"/>
      <c r="E122" s="70"/>
      <c r="F122" s="55"/>
      <c r="G122" s="17"/>
      <c r="H122" s="17"/>
      <c r="I122" s="55"/>
      <c r="J122" s="6"/>
      <c r="K122" s="6"/>
      <c r="L122" s="6"/>
      <c r="M122" s="82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</row>
    <row r="123" spans="1:35" ht="13.5" customHeight="1">
      <c r="A123" s="55"/>
      <c r="B123" s="55"/>
      <c r="C123" s="55"/>
      <c r="D123" s="55"/>
      <c r="E123" s="70"/>
      <c r="F123" s="55"/>
      <c r="G123" s="17"/>
      <c r="H123" s="17"/>
      <c r="I123" s="55"/>
      <c r="J123" s="6"/>
      <c r="K123" s="6"/>
      <c r="L123" s="6"/>
      <c r="M123" s="82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</row>
    <row r="124" spans="1:35" ht="13.5" customHeight="1">
      <c r="A124" s="55"/>
      <c r="B124" s="55"/>
      <c r="C124" s="55"/>
      <c r="D124" s="55"/>
      <c r="E124" s="70"/>
      <c r="F124" s="55"/>
      <c r="G124" s="17"/>
      <c r="H124" s="17"/>
      <c r="I124" s="55"/>
      <c r="J124" s="6"/>
      <c r="K124" s="6"/>
      <c r="L124" s="6"/>
      <c r="M124" s="82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</row>
    <row r="125" spans="1:35" ht="13.5" customHeight="1">
      <c r="A125" s="55"/>
      <c r="B125" s="55"/>
      <c r="C125" s="55"/>
      <c r="D125" s="55"/>
      <c r="E125" s="70"/>
      <c r="F125" s="55"/>
      <c r="G125" s="17"/>
      <c r="H125" s="17"/>
      <c r="I125" s="55"/>
      <c r="J125" s="6"/>
      <c r="K125" s="6"/>
      <c r="L125" s="6"/>
      <c r="M125" s="82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</row>
    <row r="126" spans="1:35" ht="13.5" customHeight="1">
      <c r="A126" s="55"/>
      <c r="B126" s="55"/>
      <c r="C126" s="55"/>
      <c r="D126" s="55"/>
      <c r="E126" s="70"/>
      <c r="F126" s="55"/>
      <c r="G126" s="17"/>
      <c r="H126" s="17"/>
      <c r="I126" s="55"/>
      <c r="J126" s="6"/>
      <c r="K126" s="6"/>
      <c r="L126" s="6"/>
      <c r="M126" s="82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</row>
    <row r="127" spans="1:35" ht="13.5" customHeight="1">
      <c r="A127" s="55"/>
      <c r="B127" s="55"/>
      <c r="C127" s="55"/>
      <c r="D127" s="55"/>
      <c r="E127" s="70"/>
      <c r="F127" s="55"/>
      <c r="G127" s="17"/>
      <c r="H127" s="17"/>
      <c r="I127" s="55"/>
      <c r="J127" s="6"/>
      <c r="K127" s="6"/>
      <c r="L127" s="6"/>
      <c r="M127" s="82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</row>
    <row r="128" spans="1:35" ht="13.5" customHeight="1">
      <c r="A128" s="55"/>
      <c r="B128" s="55"/>
      <c r="C128" s="55"/>
      <c r="D128" s="55"/>
      <c r="E128" s="70"/>
      <c r="F128" s="55"/>
      <c r="G128" s="17"/>
      <c r="H128" s="17"/>
      <c r="I128" s="55"/>
      <c r="J128" s="6"/>
      <c r="K128" s="6"/>
      <c r="L128" s="6"/>
      <c r="M128" s="82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</row>
    <row r="129" spans="1:35" ht="13.5" customHeight="1">
      <c r="A129" s="55"/>
      <c r="B129" s="55"/>
      <c r="C129" s="55"/>
      <c r="D129" s="55"/>
      <c r="E129" s="70"/>
      <c r="F129" s="55"/>
      <c r="G129" s="17"/>
      <c r="H129" s="17"/>
      <c r="I129" s="55"/>
      <c r="J129" s="6"/>
      <c r="K129" s="6"/>
      <c r="L129" s="6"/>
      <c r="M129" s="82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</row>
    <row r="130" spans="1:35" ht="13.5" customHeight="1">
      <c r="A130" s="55"/>
      <c r="B130" s="55"/>
      <c r="C130" s="55"/>
      <c r="D130" s="55"/>
      <c r="E130" s="70"/>
      <c r="F130" s="55"/>
      <c r="G130" s="17"/>
      <c r="H130" s="17"/>
      <c r="I130" s="55"/>
      <c r="J130" s="6"/>
      <c r="K130" s="6"/>
      <c r="L130" s="6"/>
      <c r="M130" s="82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</row>
    <row r="131" spans="1:35" ht="13.5" customHeight="1">
      <c r="A131" s="55"/>
      <c r="B131" s="55"/>
      <c r="C131" s="55"/>
      <c r="D131" s="55"/>
      <c r="E131" s="70"/>
      <c r="F131" s="55"/>
      <c r="G131" s="17"/>
      <c r="H131" s="17"/>
      <c r="I131" s="55"/>
      <c r="J131" s="6"/>
      <c r="K131" s="6"/>
      <c r="L131" s="6"/>
      <c r="M131" s="82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</row>
    <row r="132" spans="1:35" ht="13.5" customHeight="1">
      <c r="A132" s="55"/>
      <c r="B132" s="55"/>
      <c r="C132" s="55"/>
      <c r="D132" s="55"/>
      <c r="E132" s="70"/>
      <c r="F132" s="55"/>
      <c r="G132" s="17"/>
      <c r="H132" s="17"/>
      <c r="I132" s="55"/>
      <c r="J132" s="6"/>
      <c r="K132" s="6"/>
      <c r="L132" s="6"/>
      <c r="M132" s="82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</row>
    <row r="133" spans="1:35" ht="13.5" customHeight="1">
      <c r="A133" s="55"/>
      <c r="B133" s="55"/>
      <c r="C133" s="55"/>
      <c r="D133" s="55"/>
      <c r="E133" s="70"/>
      <c r="F133" s="55"/>
      <c r="G133" s="17"/>
      <c r="H133" s="17"/>
      <c r="I133" s="55"/>
      <c r="J133" s="6"/>
      <c r="K133" s="6"/>
      <c r="L133" s="6"/>
      <c r="M133" s="82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</row>
    <row r="134" spans="1:35" ht="13.5" customHeight="1">
      <c r="A134" s="55"/>
      <c r="B134" s="55"/>
      <c r="C134" s="55"/>
      <c r="D134" s="55"/>
      <c r="E134" s="70"/>
      <c r="F134" s="55"/>
      <c r="G134" s="17"/>
      <c r="H134" s="17"/>
      <c r="I134" s="55"/>
      <c r="J134" s="6"/>
      <c r="K134" s="6"/>
      <c r="L134" s="6"/>
      <c r="M134" s="82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</row>
    <row r="135" spans="1:35" ht="13.5" customHeight="1">
      <c r="A135" s="55"/>
      <c r="B135" s="55"/>
      <c r="C135" s="55"/>
      <c r="D135" s="55"/>
      <c r="E135" s="70"/>
      <c r="F135" s="55"/>
      <c r="G135" s="17"/>
      <c r="H135" s="17"/>
      <c r="I135" s="55"/>
      <c r="J135" s="6"/>
      <c r="K135" s="6"/>
      <c r="L135" s="6"/>
      <c r="M135" s="82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</row>
    <row r="136" spans="1:35" ht="13.5" customHeight="1">
      <c r="A136" s="55"/>
      <c r="B136" s="55"/>
      <c r="C136" s="55"/>
      <c r="D136" s="55"/>
      <c r="E136" s="70"/>
      <c r="F136" s="55"/>
      <c r="G136" s="17"/>
      <c r="H136" s="17"/>
      <c r="I136" s="55"/>
      <c r="J136" s="6"/>
      <c r="K136" s="6"/>
      <c r="L136" s="6"/>
      <c r="M136" s="82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</row>
    <row r="137" spans="1:35" ht="13.5" customHeight="1">
      <c r="A137" s="55"/>
      <c r="B137" s="55"/>
      <c r="C137" s="55"/>
      <c r="D137" s="55"/>
      <c r="E137" s="70"/>
      <c r="F137" s="55"/>
      <c r="G137" s="17"/>
      <c r="H137" s="17"/>
      <c r="I137" s="55"/>
      <c r="J137" s="6"/>
      <c r="K137" s="6"/>
      <c r="L137" s="6"/>
      <c r="M137" s="82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</row>
    <row r="138" spans="1:35" ht="13.5" customHeight="1">
      <c r="A138" s="55"/>
      <c r="B138" s="55"/>
      <c r="C138" s="55"/>
      <c r="D138" s="55"/>
      <c r="E138" s="70"/>
      <c r="F138" s="55"/>
      <c r="G138" s="17"/>
      <c r="H138" s="17"/>
      <c r="I138" s="55"/>
      <c r="J138" s="6"/>
      <c r="K138" s="6"/>
      <c r="L138" s="6"/>
      <c r="M138" s="82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</row>
    <row r="139" spans="1:35" ht="13.5" customHeight="1">
      <c r="A139" s="55"/>
      <c r="B139" s="55"/>
      <c r="C139" s="55"/>
      <c r="D139" s="55"/>
      <c r="E139" s="70"/>
      <c r="F139" s="55"/>
      <c r="G139" s="17"/>
      <c r="H139" s="17"/>
      <c r="I139" s="55"/>
      <c r="J139" s="6"/>
      <c r="K139" s="6"/>
      <c r="L139" s="6"/>
      <c r="M139" s="82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</row>
    <row r="140" spans="1:35" ht="13.5" customHeight="1">
      <c r="A140" s="55"/>
      <c r="B140" s="55"/>
      <c r="C140" s="55"/>
      <c r="D140" s="55"/>
      <c r="E140" s="70"/>
      <c r="F140" s="55"/>
      <c r="G140" s="17"/>
      <c r="H140" s="17"/>
      <c r="I140" s="55"/>
      <c r="J140" s="55"/>
      <c r="K140" s="55"/>
      <c r="L140" s="55"/>
      <c r="M140" s="82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</row>
    <row r="141" spans="1:35" ht="13.5" customHeight="1">
      <c r="A141" s="55"/>
      <c r="B141" s="55"/>
      <c r="C141" s="55"/>
      <c r="D141" s="55"/>
      <c r="E141" s="70"/>
      <c r="F141" s="55"/>
      <c r="G141" s="17"/>
      <c r="H141" s="17"/>
      <c r="I141" s="55"/>
      <c r="J141" s="55"/>
      <c r="K141" s="55"/>
      <c r="L141" s="55"/>
      <c r="M141" s="82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</row>
    <row r="142" spans="1:35" ht="13.5" customHeight="1">
      <c r="A142" s="55"/>
      <c r="B142" s="55"/>
      <c r="C142" s="55"/>
      <c r="D142" s="55"/>
      <c r="E142" s="70"/>
      <c r="F142" s="55"/>
      <c r="G142" s="17"/>
      <c r="H142" s="17"/>
      <c r="I142" s="55"/>
      <c r="J142" s="55"/>
      <c r="K142" s="55"/>
      <c r="L142" s="55"/>
      <c r="M142" s="82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</row>
    <row r="143" spans="1:35" ht="13.5" customHeight="1">
      <c r="A143" s="55"/>
      <c r="B143" s="55"/>
      <c r="C143" s="55"/>
      <c r="D143" s="55"/>
      <c r="E143" s="70"/>
      <c r="F143" s="55"/>
      <c r="G143" s="17"/>
      <c r="H143" s="17"/>
      <c r="I143" s="55"/>
      <c r="J143" s="55"/>
      <c r="K143" s="55"/>
      <c r="L143" s="55"/>
      <c r="M143" s="82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</row>
    <row r="144" spans="1:35" ht="13.5" customHeight="1">
      <c r="A144" s="55"/>
      <c r="B144" s="55"/>
      <c r="C144" s="55"/>
      <c r="D144" s="55"/>
      <c r="E144" s="70"/>
      <c r="F144" s="55"/>
      <c r="G144" s="17"/>
      <c r="H144" s="17"/>
      <c r="I144" s="55"/>
      <c r="J144" s="55"/>
      <c r="K144" s="55"/>
      <c r="L144" s="55"/>
      <c r="M144" s="82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</row>
    <row r="145" spans="1:35" ht="13.5" customHeight="1">
      <c r="A145" s="55"/>
      <c r="B145" s="55"/>
      <c r="C145" s="55"/>
      <c r="D145" s="55"/>
      <c r="E145" s="70"/>
      <c r="F145" s="55"/>
      <c r="G145" s="17"/>
      <c r="H145" s="17"/>
      <c r="I145" s="55"/>
      <c r="J145" s="55"/>
      <c r="K145" s="55"/>
      <c r="L145" s="55"/>
      <c r="M145" s="82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</row>
    <row r="146" spans="1:35" ht="13.5" customHeight="1">
      <c r="A146" s="55"/>
      <c r="B146" s="55"/>
      <c r="C146" s="55"/>
      <c r="D146" s="55"/>
      <c r="E146" s="70"/>
      <c r="F146" s="55"/>
      <c r="G146" s="17"/>
      <c r="H146" s="17"/>
      <c r="I146" s="55"/>
      <c r="J146" s="55"/>
      <c r="K146" s="55"/>
      <c r="L146" s="55"/>
      <c r="M146" s="82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</row>
    <row r="147" spans="1:35" ht="13.5" customHeight="1">
      <c r="A147" s="55"/>
      <c r="B147" s="55"/>
      <c r="C147" s="55"/>
      <c r="D147" s="55"/>
      <c r="E147" s="70"/>
      <c r="F147" s="55"/>
      <c r="G147" s="17"/>
      <c r="H147" s="17"/>
      <c r="I147" s="55"/>
      <c r="J147" s="55"/>
      <c r="K147" s="55"/>
      <c r="L147" s="55"/>
      <c r="M147" s="82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</row>
    <row r="148" spans="1:35" ht="13.5" customHeight="1">
      <c r="A148" s="55"/>
      <c r="B148" s="55"/>
      <c r="C148" s="55"/>
      <c r="D148" s="55"/>
      <c r="E148" s="70"/>
      <c r="F148" s="55"/>
      <c r="G148" s="17"/>
      <c r="H148" s="17"/>
      <c r="I148" s="55"/>
      <c r="J148" s="55"/>
      <c r="K148" s="55"/>
      <c r="L148" s="55"/>
      <c r="M148" s="82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</row>
    <row r="149" spans="1:35" ht="13.5" customHeight="1">
      <c r="A149" s="55"/>
      <c r="B149" s="55"/>
      <c r="C149" s="55"/>
      <c r="D149" s="55"/>
      <c r="E149" s="70"/>
      <c r="F149" s="55"/>
      <c r="G149" s="17"/>
      <c r="H149" s="17"/>
      <c r="I149" s="55"/>
      <c r="J149" s="55"/>
      <c r="K149" s="55"/>
      <c r="L149" s="55"/>
      <c r="M149" s="82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</row>
    <row r="150" spans="1:35" ht="13.5" customHeight="1">
      <c r="A150" s="55"/>
      <c r="B150" s="55"/>
      <c r="C150" s="55"/>
      <c r="D150" s="55"/>
      <c r="E150" s="70"/>
      <c r="F150" s="55"/>
      <c r="G150" s="17"/>
      <c r="H150" s="17"/>
      <c r="I150" s="55"/>
      <c r="J150" s="55"/>
      <c r="K150" s="55"/>
      <c r="L150" s="55"/>
      <c r="M150" s="82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</row>
    <row r="151" spans="1:35" ht="13.5" customHeight="1">
      <c r="A151" s="55"/>
      <c r="B151" s="55"/>
      <c r="C151" s="55"/>
      <c r="D151" s="55"/>
      <c r="E151" s="70"/>
      <c r="F151" s="55"/>
      <c r="G151" s="17"/>
      <c r="H151" s="17"/>
      <c r="I151" s="55"/>
      <c r="J151" s="55"/>
      <c r="K151" s="55"/>
      <c r="L151" s="55"/>
      <c r="M151" s="82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</row>
    <row r="152" spans="1:35" ht="13.5" customHeight="1">
      <c r="A152" s="55"/>
      <c r="B152" s="55"/>
      <c r="C152" s="55"/>
      <c r="D152" s="55"/>
      <c r="E152" s="70"/>
      <c r="F152" s="55"/>
      <c r="G152" s="17"/>
      <c r="H152" s="17"/>
      <c r="I152" s="55"/>
      <c r="J152" s="55"/>
      <c r="K152" s="55"/>
      <c r="L152" s="55"/>
      <c r="M152" s="82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</row>
    <row r="153" spans="1:35" ht="13.5" customHeight="1">
      <c r="A153" s="55"/>
      <c r="B153" s="55"/>
      <c r="C153" s="55"/>
      <c r="D153" s="55"/>
      <c r="E153" s="70"/>
      <c r="F153" s="55"/>
      <c r="G153" s="17"/>
      <c r="H153" s="17"/>
      <c r="I153" s="55"/>
      <c r="J153" s="55"/>
      <c r="K153" s="55"/>
      <c r="L153" s="55"/>
      <c r="M153" s="82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</row>
    <row r="154" spans="1:35" ht="13.5" customHeight="1">
      <c r="A154" s="55"/>
      <c r="B154" s="55"/>
      <c r="C154" s="55"/>
      <c r="D154" s="55"/>
      <c r="E154" s="70"/>
      <c r="F154" s="55"/>
      <c r="G154" s="17"/>
      <c r="H154" s="17"/>
      <c r="I154" s="55"/>
      <c r="J154" s="55"/>
      <c r="K154" s="55"/>
      <c r="L154" s="55"/>
      <c r="M154" s="82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</row>
    <row r="155" spans="1:35" ht="13.5" customHeight="1">
      <c r="A155" s="55"/>
      <c r="B155" s="55"/>
      <c r="C155" s="55"/>
      <c r="D155" s="55"/>
      <c r="E155" s="70"/>
      <c r="F155" s="55"/>
      <c r="G155" s="17"/>
      <c r="H155" s="17"/>
      <c r="I155" s="55"/>
      <c r="J155" s="55"/>
      <c r="K155" s="55"/>
      <c r="L155" s="55"/>
      <c r="M155" s="82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</row>
    <row r="156" spans="1:35" ht="13.5" customHeight="1">
      <c r="A156" s="55"/>
      <c r="B156" s="55"/>
      <c r="C156" s="55"/>
      <c r="D156" s="55"/>
      <c r="E156" s="70"/>
      <c r="F156" s="55"/>
      <c r="G156" s="17"/>
      <c r="H156" s="17"/>
      <c r="I156" s="55"/>
      <c r="J156" s="55"/>
      <c r="K156" s="55"/>
      <c r="L156" s="55"/>
      <c r="M156" s="82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</row>
    <row r="157" spans="1:35" ht="13.5" customHeight="1">
      <c r="A157" s="55"/>
      <c r="B157" s="55"/>
      <c r="C157" s="55"/>
      <c r="D157" s="55"/>
      <c r="E157" s="70"/>
      <c r="F157" s="55"/>
      <c r="G157" s="17"/>
      <c r="H157" s="17"/>
      <c r="I157" s="55"/>
      <c r="J157" s="55"/>
      <c r="K157" s="55"/>
      <c r="L157" s="55"/>
      <c r="M157" s="82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</row>
    <row r="158" spans="1:35" ht="13.5" customHeight="1">
      <c r="A158" s="55"/>
      <c r="B158" s="55"/>
      <c r="C158" s="55"/>
      <c r="D158" s="55"/>
      <c r="E158" s="70"/>
      <c r="F158" s="55"/>
      <c r="G158" s="17"/>
      <c r="H158" s="17"/>
      <c r="I158" s="55"/>
      <c r="J158" s="55"/>
      <c r="K158" s="55"/>
      <c r="L158" s="55"/>
      <c r="M158" s="82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</row>
    <row r="159" spans="1:35" ht="13.5" customHeight="1">
      <c r="A159" s="55"/>
      <c r="B159" s="55"/>
      <c r="C159" s="55"/>
      <c r="D159" s="55"/>
      <c r="E159" s="70"/>
      <c r="F159" s="55"/>
      <c r="G159" s="17"/>
      <c r="H159" s="17"/>
      <c r="I159" s="55"/>
      <c r="J159" s="55"/>
      <c r="K159" s="55"/>
      <c r="L159" s="55"/>
      <c r="M159" s="82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</row>
    <row r="160" spans="1:35" ht="13.5" customHeight="1">
      <c r="A160" s="55"/>
      <c r="B160" s="55"/>
      <c r="C160" s="55"/>
      <c r="D160" s="55"/>
      <c r="E160" s="70"/>
      <c r="F160" s="55"/>
      <c r="G160" s="17"/>
      <c r="H160" s="17"/>
      <c r="I160" s="55"/>
      <c r="J160" s="55"/>
      <c r="K160" s="55"/>
      <c r="L160" s="55"/>
      <c r="M160" s="82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</row>
    <row r="161" spans="1:35" ht="13.5" customHeight="1">
      <c r="A161" s="55"/>
      <c r="B161" s="55"/>
      <c r="C161" s="55"/>
      <c r="D161" s="55"/>
      <c r="E161" s="70"/>
      <c r="F161" s="55"/>
      <c r="G161" s="17"/>
      <c r="H161" s="17"/>
      <c r="I161" s="55"/>
      <c r="J161" s="55"/>
      <c r="K161" s="55"/>
      <c r="L161" s="55"/>
      <c r="M161" s="82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</row>
    <row r="162" spans="1:35" ht="13.5" customHeight="1">
      <c r="A162" s="55"/>
      <c r="B162" s="55"/>
      <c r="C162" s="55"/>
      <c r="D162" s="55"/>
      <c r="E162" s="70"/>
      <c r="F162" s="55"/>
      <c r="G162" s="17"/>
      <c r="H162" s="17"/>
      <c r="I162" s="55"/>
      <c r="J162" s="55"/>
      <c r="K162" s="55"/>
      <c r="L162" s="55"/>
      <c r="M162" s="82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</row>
    <row r="163" spans="1:35" ht="13.5" customHeight="1">
      <c r="A163" s="55"/>
      <c r="B163" s="55"/>
      <c r="C163" s="55"/>
      <c r="D163" s="55"/>
      <c r="E163" s="70"/>
      <c r="F163" s="55"/>
      <c r="G163" s="17"/>
      <c r="H163" s="17"/>
      <c r="I163" s="55"/>
      <c r="J163" s="55"/>
      <c r="K163" s="55"/>
      <c r="L163" s="55"/>
      <c r="M163" s="82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</row>
    <row r="164" spans="1:35" ht="13.5" customHeight="1">
      <c r="A164" s="55"/>
      <c r="B164" s="55"/>
      <c r="C164" s="55"/>
      <c r="D164" s="55"/>
      <c r="E164" s="70"/>
      <c r="F164" s="55"/>
      <c r="G164" s="17"/>
      <c r="H164" s="17"/>
      <c r="I164" s="55"/>
      <c r="J164" s="55"/>
      <c r="K164" s="55"/>
      <c r="L164" s="55"/>
      <c r="M164" s="82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</row>
    <row r="165" spans="1:35" ht="13.5" customHeight="1">
      <c r="A165" s="55"/>
      <c r="B165" s="55"/>
      <c r="C165" s="55"/>
      <c r="D165" s="55"/>
      <c r="E165" s="70"/>
      <c r="F165" s="55"/>
      <c r="G165" s="17"/>
      <c r="H165" s="17"/>
      <c r="I165" s="55"/>
      <c r="J165" s="55"/>
      <c r="K165" s="55"/>
      <c r="L165" s="55"/>
      <c r="M165" s="82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</row>
    <row r="166" spans="1:35" ht="13.5" customHeight="1">
      <c r="A166" s="55"/>
      <c r="B166" s="55"/>
      <c r="C166" s="55"/>
      <c r="D166" s="55"/>
      <c r="E166" s="70"/>
      <c r="F166" s="55"/>
      <c r="G166" s="17"/>
      <c r="H166" s="17"/>
      <c r="I166" s="55"/>
      <c r="J166" s="55"/>
      <c r="K166" s="55"/>
      <c r="L166" s="55"/>
      <c r="M166" s="82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</row>
    <row r="167" spans="1:35" ht="13.5" customHeight="1">
      <c r="A167" s="55"/>
      <c r="B167" s="55"/>
      <c r="C167" s="55"/>
      <c r="D167" s="55"/>
      <c r="E167" s="70"/>
      <c r="F167" s="55"/>
      <c r="G167" s="17"/>
      <c r="H167" s="17"/>
      <c r="I167" s="55"/>
      <c r="J167" s="55"/>
      <c r="K167" s="55"/>
      <c r="L167" s="55"/>
      <c r="M167" s="82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</row>
    <row r="168" spans="1:35" ht="13.5" customHeight="1">
      <c r="A168" s="55"/>
      <c r="B168" s="55"/>
      <c r="C168" s="55"/>
      <c r="D168" s="55"/>
      <c r="E168" s="70"/>
      <c r="F168" s="55"/>
      <c r="G168" s="17"/>
      <c r="H168" s="17"/>
      <c r="I168" s="55"/>
      <c r="J168" s="55"/>
      <c r="K168" s="55"/>
      <c r="L168" s="55"/>
      <c r="M168" s="82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</row>
    <row r="169" spans="1:35" ht="13.5" customHeight="1">
      <c r="A169" s="55"/>
      <c r="B169" s="55"/>
      <c r="C169" s="55"/>
      <c r="D169" s="55"/>
      <c r="E169" s="70"/>
      <c r="F169" s="55"/>
      <c r="G169" s="17"/>
      <c r="H169" s="17"/>
      <c r="I169" s="55"/>
      <c r="J169" s="55"/>
      <c r="K169" s="55"/>
      <c r="L169" s="55"/>
      <c r="M169" s="82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</row>
    <row r="170" spans="1:35" ht="13.5" customHeight="1">
      <c r="A170" s="55"/>
      <c r="B170" s="55"/>
      <c r="C170" s="55"/>
      <c r="D170" s="55"/>
      <c r="E170" s="70"/>
      <c r="F170" s="55"/>
      <c r="G170" s="17"/>
      <c r="H170" s="17"/>
      <c r="I170" s="55"/>
      <c r="J170" s="55"/>
      <c r="K170" s="55"/>
      <c r="L170" s="55"/>
      <c r="M170" s="82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</row>
    <row r="171" spans="1:35" ht="13.5" customHeight="1">
      <c r="A171" s="55"/>
      <c r="B171" s="55"/>
      <c r="C171" s="55"/>
      <c r="D171" s="55"/>
      <c r="E171" s="70"/>
      <c r="F171" s="55"/>
      <c r="G171" s="17"/>
      <c r="H171" s="17"/>
      <c r="I171" s="55"/>
      <c r="J171" s="55"/>
      <c r="K171" s="55"/>
      <c r="L171" s="55"/>
      <c r="M171" s="82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</row>
    <row r="172" spans="1:35" ht="13.5" customHeight="1">
      <c r="A172" s="55"/>
      <c r="B172" s="55"/>
      <c r="C172" s="55"/>
      <c r="D172" s="55"/>
      <c r="E172" s="70"/>
      <c r="F172" s="55"/>
      <c r="G172" s="17"/>
      <c r="H172" s="17"/>
      <c r="I172" s="55"/>
      <c r="J172" s="55"/>
      <c r="K172" s="55"/>
      <c r="L172" s="55"/>
      <c r="M172" s="82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</row>
    <row r="173" spans="1:35" ht="13.5" customHeight="1">
      <c r="A173" s="55"/>
      <c r="B173" s="55"/>
      <c r="C173" s="55"/>
      <c r="D173" s="55"/>
      <c r="E173" s="70"/>
      <c r="F173" s="55"/>
      <c r="G173" s="17"/>
      <c r="H173" s="17"/>
      <c r="I173" s="55"/>
      <c r="J173" s="55"/>
      <c r="K173" s="55"/>
      <c r="L173" s="55"/>
      <c r="M173" s="82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</row>
    <row r="174" spans="1:35" ht="13.5" customHeight="1">
      <c r="A174" s="55"/>
      <c r="B174" s="55"/>
      <c r="C174" s="55"/>
      <c r="D174" s="55"/>
      <c r="E174" s="70"/>
      <c r="F174" s="55"/>
      <c r="G174" s="17"/>
      <c r="H174" s="17"/>
      <c r="I174" s="55"/>
      <c r="J174" s="55"/>
      <c r="K174" s="55"/>
      <c r="L174" s="55"/>
      <c r="M174" s="82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</row>
    <row r="175" spans="1:35" ht="13.5" customHeight="1">
      <c r="A175" s="55"/>
      <c r="B175" s="55"/>
      <c r="C175" s="55"/>
      <c r="D175" s="55"/>
      <c r="E175" s="70"/>
      <c r="F175" s="55"/>
      <c r="G175" s="17"/>
      <c r="H175" s="17"/>
      <c r="I175" s="55"/>
      <c r="J175" s="55"/>
      <c r="K175" s="55"/>
      <c r="L175" s="55"/>
      <c r="M175" s="82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</row>
    <row r="176" spans="1:35" ht="13.5" customHeight="1">
      <c r="A176" s="55"/>
      <c r="B176" s="55"/>
      <c r="C176" s="55"/>
      <c r="D176" s="55"/>
      <c r="E176" s="70"/>
      <c r="F176" s="55"/>
      <c r="G176" s="17"/>
      <c r="H176" s="17"/>
      <c r="I176" s="55"/>
      <c r="J176" s="55"/>
      <c r="K176" s="55"/>
      <c r="L176" s="55"/>
      <c r="M176" s="82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</row>
    <row r="177" spans="1:35" ht="13.5" customHeight="1">
      <c r="A177" s="55"/>
      <c r="B177" s="55"/>
      <c r="C177" s="55"/>
      <c r="D177" s="55"/>
      <c r="E177" s="70"/>
      <c r="F177" s="55"/>
      <c r="G177" s="17"/>
      <c r="H177" s="17"/>
      <c r="I177" s="55"/>
      <c r="J177" s="55"/>
      <c r="K177" s="55"/>
      <c r="L177" s="55"/>
      <c r="M177" s="82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</row>
    <row r="178" spans="1:35" ht="13.5" customHeight="1">
      <c r="A178" s="55"/>
      <c r="B178" s="55"/>
      <c r="C178" s="55"/>
      <c r="D178" s="55"/>
      <c r="E178" s="70"/>
      <c r="F178" s="55"/>
      <c r="G178" s="17"/>
      <c r="H178" s="17"/>
      <c r="I178" s="55"/>
      <c r="J178" s="55"/>
      <c r="K178" s="55"/>
      <c r="L178" s="55"/>
      <c r="M178" s="82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</row>
    <row r="179" spans="1:35" ht="13.5" customHeight="1">
      <c r="A179" s="55"/>
      <c r="B179" s="55"/>
      <c r="C179" s="55"/>
      <c r="D179" s="55"/>
      <c r="E179" s="70"/>
      <c r="F179" s="55"/>
      <c r="G179" s="17"/>
      <c r="H179" s="17"/>
      <c r="I179" s="55"/>
      <c r="J179" s="55"/>
      <c r="K179" s="55"/>
      <c r="L179" s="55"/>
      <c r="M179" s="82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</row>
    <row r="180" spans="1:35" ht="13.5" customHeight="1">
      <c r="A180" s="55"/>
      <c r="B180" s="55"/>
      <c r="C180" s="55"/>
      <c r="D180" s="55"/>
      <c r="E180" s="70"/>
      <c r="F180" s="55"/>
      <c r="G180" s="17"/>
      <c r="H180" s="17"/>
      <c r="I180" s="55"/>
      <c r="J180" s="55"/>
      <c r="K180" s="55"/>
      <c r="L180" s="55"/>
      <c r="M180" s="82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</row>
    <row r="181" spans="1:35" ht="13.5" customHeight="1">
      <c r="A181" s="55"/>
      <c r="B181" s="55"/>
      <c r="C181" s="55"/>
      <c r="D181" s="55"/>
      <c r="E181" s="70"/>
      <c r="F181" s="55"/>
      <c r="G181" s="17"/>
      <c r="H181" s="17"/>
      <c r="I181" s="55"/>
      <c r="J181" s="55"/>
      <c r="K181" s="55"/>
      <c r="L181" s="55"/>
      <c r="M181" s="82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</row>
    <row r="182" spans="1:35" ht="13.5" customHeight="1">
      <c r="A182" s="55"/>
      <c r="B182" s="55"/>
      <c r="C182" s="55"/>
      <c r="D182" s="55"/>
      <c r="E182" s="70"/>
      <c r="F182" s="55"/>
      <c r="G182" s="17"/>
      <c r="H182" s="17"/>
      <c r="I182" s="55"/>
      <c r="J182" s="55"/>
      <c r="K182" s="55"/>
      <c r="L182" s="55"/>
      <c r="M182" s="82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</row>
    <row r="183" spans="1:35" ht="13.5" customHeight="1">
      <c r="A183" s="55"/>
      <c r="B183" s="55"/>
      <c r="C183" s="55"/>
      <c r="D183" s="55"/>
      <c r="E183" s="70"/>
      <c r="F183" s="55"/>
      <c r="G183" s="17"/>
      <c r="H183" s="17"/>
      <c r="I183" s="55"/>
      <c r="J183" s="55"/>
      <c r="K183" s="55"/>
      <c r="L183" s="55"/>
      <c r="M183" s="82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</row>
    <row r="184" spans="1:35" ht="13.5" customHeight="1">
      <c r="A184" s="55"/>
      <c r="B184" s="55"/>
      <c r="C184" s="55"/>
      <c r="D184" s="55"/>
      <c r="E184" s="70"/>
      <c r="F184" s="55"/>
      <c r="G184" s="17"/>
      <c r="H184" s="17"/>
      <c r="I184" s="55"/>
      <c r="J184" s="55"/>
      <c r="K184" s="55"/>
      <c r="L184" s="55"/>
      <c r="M184" s="82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</row>
    <row r="185" spans="1:35" ht="13.5" customHeight="1">
      <c r="A185" s="55"/>
      <c r="B185" s="55"/>
      <c r="C185" s="55"/>
      <c r="D185" s="55"/>
      <c r="E185" s="70"/>
      <c r="F185" s="55"/>
      <c r="G185" s="17"/>
      <c r="H185" s="17"/>
      <c r="I185" s="55"/>
      <c r="J185" s="55"/>
      <c r="K185" s="55"/>
      <c r="L185" s="55"/>
      <c r="M185" s="82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</row>
    <row r="186" spans="1:35" ht="13.5" customHeight="1">
      <c r="A186" s="55"/>
      <c r="B186" s="55"/>
      <c r="C186" s="55"/>
      <c r="D186" s="55"/>
      <c r="E186" s="70"/>
      <c r="F186" s="55"/>
      <c r="G186" s="17"/>
      <c r="H186" s="17"/>
      <c r="I186" s="55"/>
      <c r="J186" s="55"/>
      <c r="K186" s="55"/>
      <c r="L186" s="55"/>
      <c r="M186" s="82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</row>
    <row r="187" spans="1:35" ht="13.5" customHeight="1">
      <c r="A187" s="55"/>
      <c r="B187" s="55"/>
      <c r="C187" s="55"/>
      <c r="D187" s="55"/>
      <c r="E187" s="70"/>
      <c r="F187" s="55"/>
      <c r="G187" s="17"/>
      <c r="H187" s="17"/>
      <c r="I187" s="55"/>
      <c r="J187" s="55"/>
      <c r="K187" s="55"/>
      <c r="L187" s="55"/>
      <c r="M187" s="82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</row>
    <row r="188" spans="1:35" ht="13.5" customHeight="1">
      <c r="A188" s="55"/>
      <c r="B188" s="55"/>
      <c r="C188" s="55"/>
      <c r="D188" s="55"/>
      <c r="E188" s="70"/>
      <c r="F188" s="55"/>
      <c r="G188" s="17"/>
      <c r="H188" s="17"/>
      <c r="I188" s="55"/>
      <c r="J188" s="55"/>
      <c r="K188" s="55"/>
      <c r="L188" s="55"/>
      <c r="M188" s="82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</row>
    <row r="189" spans="1:35" ht="13.5" customHeight="1">
      <c r="A189" s="55"/>
      <c r="B189" s="55"/>
      <c r="C189" s="55"/>
      <c r="D189" s="55"/>
      <c r="E189" s="70"/>
      <c r="F189" s="55"/>
      <c r="G189" s="17"/>
      <c r="H189" s="17"/>
      <c r="I189" s="55"/>
      <c r="J189" s="55"/>
      <c r="K189" s="55"/>
      <c r="L189" s="55"/>
      <c r="M189" s="82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</row>
    <row r="190" spans="1:35" ht="13.5" customHeight="1">
      <c r="A190" s="55"/>
      <c r="B190" s="55"/>
      <c r="C190" s="55"/>
      <c r="D190" s="55"/>
      <c r="E190" s="70"/>
      <c r="F190" s="55"/>
      <c r="G190" s="17"/>
      <c r="H190" s="17"/>
      <c r="I190" s="55"/>
      <c r="J190" s="55"/>
      <c r="K190" s="55"/>
      <c r="L190" s="55"/>
      <c r="M190" s="82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</row>
    <row r="191" spans="1:35" ht="13.5" customHeight="1">
      <c r="A191" s="55"/>
      <c r="B191" s="55"/>
      <c r="C191" s="55"/>
      <c r="D191" s="55"/>
      <c r="E191" s="70"/>
      <c r="F191" s="55"/>
      <c r="G191" s="17"/>
      <c r="H191" s="17"/>
      <c r="I191" s="55"/>
      <c r="J191" s="55"/>
      <c r="K191" s="55"/>
      <c r="L191" s="55"/>
      <c r="M191" s="82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</row>
    <row r="192" spans="1:35" ht="13.5" customHeight="1">
      <c r="A192" s="55"/>
      <c r="B192" s="55"/>
      <c r="C192" s="55"/>
      <c r="D192" s="55"/>
      <c r="E192" s="70"/>
      <c r="F192" s="55"/>
      <c r="G192" s="17"/>
      <c r="H192" s="17"/>
      <c r="I192" s="55"/>
      <c r="J192" s="55"/>
      <c r="K192" s="55"/>
      <c r="L192" s="55"/>
      <c r="M192" s="82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</row>
    <row r="193" spans="1:35" ht="13.5" customHeight="1">
      <c r="A193" s="55"/>
      <c r="B193" s="55"/>
      <c r="C193" s="55"/>
      <c r="D193" s="55"/>
      <c r="E193" s="70"/>
      <c r="F193" s="55"/>
      <c r="G193" s="17"/>
      <c r="H193" s="17"/>
      <c r="I193" s="55"/>
      <c r="J193" s="55"/>
      <c r="K193" s="55"/>
      <c r="L193" s="55"/>
      <c r="M193" s="82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</row>
    <row r="194" spans="1:35" ht="13.5" customHeight="1">
      <c r="A194" s="55"/>
      <c r="B194" s="55"/>
      <c r="C194" s="55"/>
      <c r="D194" s="55"/>
      <c r="E194" s="70"/>
      <c r="F194" s="55"/>
      <c r="G194" s="17"/>
      <c r="H194" s="17"/>
      <c r="I194" s="55"/>
      <c r="J194" s="55"/>
      <c r="K194" s="55"/>
      <c r="L194" s="55"/>
      <c r="M194" s="82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</row>
    <row r="195" spans="1:35" ht="13.5" customHeight="1">
      <c r="A195" s="55"/>
      <c r="B195" s="55"/>
      <c r="C195" s="55"/>
      <c r="D195" s="55"/>
      <c r="E195" s="70"/>
      <c r="F195" s="55"/>
      <c r="G195" s="17"/>
      <c r="H195" s="17"/>
      <c r="I195" s="55"/>
      <c r="J195" s="55"/>
      <c r="K195" s="55"/>
      <c r="L195" s="55"/>
      <c r="M195" s="82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</row>
    <row r="196" spans="1:35" ht="13.5" customHeight="1">
      <c r="A196" s="55"/>
      <c r="B196" s="55"/>
      <c r="C196" s="55"/>
      <c r="D196" s="55"/>
      <c r="E196" s="70"/>
      <c r="F196" s="55"/>
      <c r="G196" s="17"/>
      <c r="H196" s="17"/>
      <c r="I196" s="55"/>
      <c r="J196" s="55"/>
      <c r="K196" s="55"/>
      <c r="L196" s="55"/>
      <c r="M196" s="82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</row>
    <row r="197" spans="1:35" ht="13.5" customHeight="1">
      <c r="A197" s="55"/>
      <c r="B197" s="55"/>
      <c r="C197" s="55"/>
      <c r="D197" s="55"/>
      <c r="E197" s="70"/>
      <c r="F197" s="55"/>
      <c r="G197" s="17"/>
      <c r="H197" s="17"/>
      <c r="I197" s="55"/>
      <c r="J197" s="55"/>
      <c r="K197" s="55"/>
      <c r="L197" s="55"/>
      <c r="M197" s="82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</row>
    <row r="198" spans="1:35" ht="13.5" customHeight="1">
      <c r="A198" s="55"/>
      <c r="B198" s="55"/>
      <c r="C198" s="55"/>
      <c r="D198" s="55"/>
      <c r="E198" s="70"/>
      <c r="F198" s="55"/>
      <c r="G198" s="17"/>
      <c r="H198" s="17"/>
      <c r="I198" s="55"/>
      <c r="J198" s="55"/>
      <c r="K198" s="55"/>
      <c r="L198" s="55"/>
      <c r="M198" s="82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</row>
    <row r="199" spans="1:35" ht="13.5" customHeight="1">
      <c r="A199" s="55"/>
      <c r="B199" s="55"/>
      <c r="C199" s="55"/>
      <c r="D199" s="55"/>
      <c r="E199" s="70"/>
      <c r="F199" s="55"/>
      <c r="G199" s="17"/>
      <c r="H199" s="17"/>
      <c r="I199" s="55"/>
      <c r="J199" s="55"/>
      <c r="K199" s="55"/>
      <c r="L199" s="55"/>
      <c r="M199" s="82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</row>
    <row r="200" spans="1:35" ht="13.5" customHeight="1">
      <c r="A200" s="55"/>
      <c r="B200" s="55"/>
      <c r="C200" s="55"/>
      <c r="D200" s="55"/>
      <c r="E200" s="70"/>
      <c r="F200" s="55"/>
      <c r="G200" s="17"/>
      <c r="H200" s="17"/>
      <c r="I200" s="55"/>
      <c r="J200" s="55"/>
      <c r="K200" s="55"/>
      <c r="L200" s="55"/>
      <c r="M200" s="82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</row>
    <row r="201" spans="1:35" ht="13.5" customHeight="1">
      <c r="A201" s="55"/>
      <c r="B201" s="55"/>
      <c r="C201" s="55"/>
      <c r="D201" s="55"/>
      <c r="E201" s="70"/>
      <c r="F201" s="55"/>
      <c r="G201" s="17"/>
      <c r="H201" s="17"/>
      <c r="I201" s="55"/>
      <c r="J201" s="55"/>
      <c r="K201" s="55"/>
      <c r="L201" s="55"/>
      <c r="M201" s="82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</row>
    <row r="202" spans="1:35" ht="13.5" customHeight="1">
      <c r="A202" s="55"/>
      <c r="B202" s="55"/>
      <c r="C202" s="55"/>
      <c r="D202" s="55"/>
      <c r="E202" s="70"/>
      <c r="F202" s="55"/>
      <c r="G202" s="17"/>
      <c r="H202" s="17"/>
      <c r="I202" s="55"/>
      <c r="J202" s="55"/>
      <c r="K202" s="55"/>
      <c r="L202" s="55"/>
      <c r="M202" s="82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</row>
    <row r="203" spans="1:35" ht="13.5" customHeight="1">
      <c r="A203" s="55"/>
      <c r="B203" s="55"/>
      <c r="C203" s="55"/>
      <c r="D203" s="55"/>
      <c r="E203" s="70"/>
      <c r="F203" s="55"/>
      <c r="G203" s="17"/>
      <c r="H203" s="17"/>
      <c r="I203" s="55"/>
      <c r="J203" s="55"/>
      <c r="K203" s="55"/>
      <c r="L203" s="55"/>
      <c r="M203" s="82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</row>
    <row r="204" spans="1:35" ht="13.5" customHeight="1">
      <c r="A204" s="55"/>
      <c r="B204" s="55"/>
      <c r="C204" s="55"/>
      <c r="D204" s="55"/>
      <c r="E204" s="70"/>
      <c r="F204" s="55"/>
      <c r="G204" s="17"/>
      <c r="H204" s="17"/>
      <c r="I204" s="55"/>
      <c r="J204" s="55"/>
      <c r="K204" s="55"/>
      <c r="L204" s="55"/>
      <c r="M204" s="82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</row>
    <row r="205" spans="1:35" ht="13.5" customHeight="1">
      <c r="A205" s="55"/>
      <c r="B205" s="55"/>
      <c r="C205" s="55"/>
      <c r="D205" s="55"/>
      <c r="E205" s="70"/>
      <c r="F205" s="55"/>
      <c r="G205" s="17"/>
      <c r="H205" s="17"/>
      <c r="I205" s="55"/>
      <c r="J205" s="55"/>
      <c r="K205" s="55"/>
      <c r="L205" s="55"/>
      <c r="M205" s="82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</row>
    <row r="206" spans="1:35" ht="13.5" customHeight="1">
      <c r="A206" s="55"/>
      <c r="B206" s="55"/>
      <c r="C206" s="55"/>
      <c r="D206" s="55"/>
      <c r="E206" s="70"/>
      <c r="F206" s="55"/>
      <c r="G206" s="17"/>
      <c r="H206" s="17"/>
      <c r="I206" s="55"/>
      <c r="J206" s="55"/>
      <c r="K206" s="55"/>
      <c r="L206" s="55"/>
      <c r="M206" s="82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</row>
    <row r="207" spans="1:35" ht="13.5" customHeight="1">
      <c r="A207" s="55"/>
      <c r="B207" s="55"/>
      <c r="C207" s="55"/>
      <c r="D207" s="55"/>
      <c r="E207" s="70"/>
      <c r="F207" s="55"/>
      <c r="G207" s="17"/>
      <c r="H207" s="17"/>
      <c r="I207" s="55"/>
      <c r="J207" s="55"/>
      <c r="K207" s="55"/>
      <c r="L207" s="55"/>
      <c r="M207" s="82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</row>
    <row r="208" spans="1:35" ht="13.5" customHeight="1">
      <c r="A208" s="55"/>
      <c r="B208" s="55"/>
      <c r="C208" s="55"/>
      <c r="D208" s="55"/>
      <c r="E208" s="70"/>
      <c r="F208" s="55"/>
      <c r="G208" s="17"/>
      <c r="H208" s="17"/>
      <c r="I208" s="55"/>
      <c r="J208" s="55"/>
      <c r="K208" s="55"/>
      <c r="L208" s="55"/>
      <c r="M208" s="82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</row>
    <row r="209" spans="1:35" ht="13.5" customHeight="1">
      <c r="A209" s="55"/>
      <c r="B209" s="55"/>
      <c r="C209" s="55"/>
      <c r="D209" s="55"/>
      <c r="E209" s="70"/>
      <c r="F209" s="55"/>
      <c r="G209" s="17"/>
      <c r="H209" s="17"/>
      <c r="I209" s="55"/>
      <c r="J209" s="55"/>
      <c r="K209" s="55"/>
      <c r="L209" s="55"/>
      <c r="M209" s="82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</row>
    <row r="210" spans="1:35" ht="13.5" customHeight="1">
      <c r="A210" s="55"/>
      <c r="B210" s="55"/>
      <c r="C210" s="55"/>
      <c r="D210" s="55"/>
      <c r="E210" s="70"/>
      <c r="F210" s="55"/>
      <c r="G210" s="17"/>
      <c r="H210" s="17"/>
      <c r="I210" s="55"/>
      <c r="J210" s="55"/>
      <c r="K210" s="55"/>
      <c r="L210" s="55"/>
      <c r="M210" s="82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</row>
    <row r="211" spans="1:35" ht="13.5" customHeight="1">
      <c r="A211" s="55"/>
      <c r="B211" s="55"/>
      <c r="C211" s="55"/>
      <c r="D211" s="55"/>
      <c r="E211" s="70"/>
      <c r="F211" s="55"/>
      <c r="G211" s="17"/>
      <c r="H211" s="17"/>
      <c r="I211" s="55"/>
      <c r="J211" s="55"/>
      <c r="K211" s="55"/>
      <c r="L211" s="55"/>
      <c r="M211" s="82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</row>
    <row r="212" spans="1:35" ht="13.5" customHeight="1">
      <c r="A212" s="55"/>
      <c r="B212" s="55"/>
      <c r="C212" s="55"/>
      <c r="D212" s="55"/>
      <c r="E212" s="70"/>
      <c r="F212" s="55"/>
      <c r="G212" s="17"/>
      <c r="H212" s="17"/>
      <c r="I212" s="55"/>
      <c r="J212" s="55"/>
      <c r="K212" s="55"/>
      <c r="L212" s="55"/>
      <c r="M212" s="82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</row>
    <row r="213" spans="1:35" ht="13.5" customHeight="1">
      <c r="A213" s="55"/>
      <c r="B213" s="55"/>
      <c r="C213" s="55"/>
      <c r="D213" s="55"/>
      <c r="E213" s="70"/>
      <c r="F213" s="55"/>
      <c r="G213" s="17"/>
      <c r="H213" s="17"/>
      <c r="I213" s="55"/>
      <c r="J213" s="55"/>
      <c r="K213" s="55"/>
      <c r="L213" s="55"/>
      <c r="M213" s="82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</row>
    <row r="214" spans="1:35" ht="13.5" customHeight="1">
      <c r="A214" s="55"/>
      <c r="B214" s="55"/>
      <c r="C214" s="55"/>
      <c r="D214" s="55"/>
      <c r="E214" s="70"/>
      <c r="F214" s="55"/>
      <c r="G214" s="17"/>
      <c r="H214" s="17"/>
      <c r="I214" s="55"/>
      <c r="J214" s="55"/>
      <c r="K214" s="55"/>
      <c r="L214" s="55"/>
      <c r="M214" s="82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</row>
    <row r="215" spans="1:35" ht="13.5" customHeight="1">
      <c r="A215" s="55"/>
      <c r="B215" s="55"/>
      <c r="C215" s="55"/>
      <c r="D215" s="55"/>
      <c r="E215" s="70"/>
      <c r="F215" s="55"/>
      <c r="G215" s="17"/>
      <c r="H215" s="17"/>
      <c r="I215" s="55"/>
      <c r="J215" s="55"/>
      <c r="K215" s="55"/>
      <c r="L215" s="55"/>
      <c r="M215" s="82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</row>
    <row r="216" spans="1:35" ht="13.5" customHeight="1">
      <c r="A216" s="55"/>
      <c r="B216" s="55"/>
      <c r="C216" s="55"/>
      <c r="D216" s="55"/>
      <c r="E216" s="70"/>
      <c r="F216" s="55"/>
      <c r="G216" s="17"/>
      <c r="H216" s="17"/>
      <c r="I216" s="55"/>
      <c r="J216" s="55"/>
      <c r="K216" s="55"/>
      <c r="L216" s="55"/>
      <c r="M216" s="82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</row>
    <row r="217" spans="1:35" ht="13.5" customHeight="1">
      <c r="A217" s="55"/>
      <c r="B217" s="55"/>
      <c r="C217" s="55"/>
      <c r="D217" s="55"/>
      <c r="E217" s="70"/>
      <c r="F217" s="55"/>
      <c r="G217" s="17"/>
      <c r="H217" s="17"/>
      <c r="I217" s="55"/>
      <c r="J217" s="55"/>
      <c r="K217" s="55"/>
      <c r="L217" s="55"/>
      <c r="M217" s="82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</row>
    <row r="218" spans="1:35" ht="13.5" customHeight="1">
      <c r="A218" s="55"/>
      <c r="B218" s="55"/>
      <c r="C218" s="55"/>
      <c r="D218" s="55"/>
      <c r="E218" s="70"/>
      <c r="F218" s="55"/>
      <c r="G218" s="17"/>
      <c r="H218" s="17"/>
      <c r="I218" s="55"/>
      <c r="J218" s="55"/>
      <c r="K218" s="55"/>
      <c r="L218" s="55"/>
      <c r="M218" s="82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</row>
    <row r="219" spans="1:35" ht="13.5" customHeight="1">
      <c r="A219" s="55"/>
      <c r="B219" s="55"/>
      <c r="C219" s="55"/>
      <c r="D219" s="55"/>
      <c r="E219" s="70"/>
      <c r="F219" s="55"/>
      <c r="G219" s="17"/>
      <c r="H219" s="17"/>
      <c r="I219" s="55"/>
      <c r="J219" s="55"/>
      <c r="K219" s="55"/>
      <c r="L219" s="55"/>
      <c r="M219" s="82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</row>
    <row r="220" spans="1:35" ht="13.5" customHeight="1">
      <c r="A220" s="55"/>
      <c r="B220" s="55"/>
      <c r="C220" s="55"/>
      <c r="D220" s="55"/>
      <c r="E220" s="70"/>
      <c r="F220" s="55"/>
      <c r="G220" s="17"/>
      <c r="H220" s="17"/>
      <c r="I220" s="55"/>
      <c r="J220" s="55"/>
      <c r="K220" s="55"/>
      <c r="L220" s="55"/>
      <c r="M220" s="82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</row>
    <row r="221" spans="1:35" ht="13.5" customHeight="1">
      <c r="A221" s="55"/>
      <c r="B221" s="55"/>
      <c r="C221" s="55"/>
      <c r="D221" s="55"/>
      <c r="E221" s="70"/>
      <c r="F221" s="55"/>
      <c r="G221" s="17"/>
      <c r="H221" s="17"/>
      <c r="I221" s="55"/>
      <c r="J221" s="55"/>
      <c r="K221" s="55"/>
      <c r="L221" s="55"/>
      <c r="M221" s="82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</row>
    <row r="222" spans="1:35" ht="13.5" customHeight="1">
      <c r="A222" s="55"/>
      <c r="B222" s="55"/>
      <c r="C222" s="55"/>
      <c r="D222" s="55"/>
      <c r="E222" s="70"/>
      <c r="F222" s="55"/>
      <c r="G222" s="17"/>
      <c r="H222" s="17"/>
      <c r="I222" s="55"/>
      <c r="J222" s="55"/>
      <c r="K222" s="55"/>
      <c r="L222" s="55"/>
      <c r="M222" s="82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</row>
    <row r="223" spans="1:35" ht="13.5" customHeight="1">
      <c r="A223" s="55"/>
      <c r="B223" s="55"/>
      <c r="C223" s="55"/>
      <c r="D223" s="55"/>
      <c r="E223" s="70"/>
      <c r="F223" s="55"/>
      <c r="G223" s="17"/>
      <c r="H223" s="17"/>
      <c r="I223" s="55"/>
      <c r="J223" s="55"/>
      <c r="K223" s="55"/>
      <c r="L223" s="55"/>
      <c r="M223" s="82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</row>
    <row r="224" spans="1:35" ht="13.5" customHeight="1">
      <c r="A224" s="55"/>
      <c r="B224" s="55"/>
      <c r="C224" s="55"/>
      <c r="D224" s="55"/>
      <c r="E224" s="70"/>
      <c r="F224" s="55"/>
      <c r="G224" s="17"/>
      <c r="H224" s="17"/>
      <c r="I224" s="55"/>
      <c r="J224" s="55"/>
      <c r="K224" s="55"/>
      <c r="L224" s="55"/>
      <c r="M224" s="82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</row>
    <row r="225" spans="1:35" ht="13.5" customHeight="1">
      <c r="A225" s="55"/>
      <c r="B225" s="55"/>
      <c r="C225" s="55"/>
      <c r="D225" s="55"/>
      <c r="E225" s="70"/>
      <c r="F225" s="55"/>
      <c r="G225" s="17"/>
      <c r="H225" s="17"/>
      <c r="I225" s="55"/>
      <c r="J225" s="55"/>
      <c r="K225" s="55"/>
      <c r="L225" s="55"/>
      <c r="M225" s="82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</row>
    <row r="226" spans="1:35" ht="13.5" customHeight="1">
      <c r="A226" s="55"/>
      <c r="B226" s="55"/>
      <c r="C226" s="55"/>
      <c r="D226" s="55"/>
      <c r="E226" s="70"/>
      <c r="F226" s="55"/>
      <c r="G226" s="17"/>
      <c r="H226" s="17"/>
      <c r="I226" s="55"/>
      <c r="J226" s="55"/>
      <c r="K226" s="55"/>
      <c r="L226" s="55"/>
      <c r="M226" s="82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</row>
    <row r="227" spans="1:35" ht="13.5" customHeight="1">
      <c r="A227" s="55"/>
      <c r="B227" s="55"/>
      <c r="C227" s="55"/>
      <c r="D227" s="55"/>
      <c r="E227" s="70"/>
      <c r="F227" s="55"/>
      <c r="G227" s="17"/>
      <c r="H227" s="17"/>
      <c r="I227" s="55"/>
      <c r="J227" s="55"/>
      <c r="K227" s="55"/>
      <c r="L227" s="55"/>
      <c r="M227" s="82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</row>
    <row r="228" spans="1:35" ht="13.5" customHeight="1">
      <c r="A228" s="55"/>
      <c r="B228" s="55"/>
      <c r="C228" s="55"/>
      <c r="D228" s="55"/>
      <c r="E228" s="70"/>
      <c r="F228" s="55"/>
      <c r="G228" s="17"/>
      <c r="H228" s="17"/>
      <c r="I228" s="55"/>
      <c r="J228" s="55"/>
      <c r="K228" s="55"/>
      <c r="L228" s="55"/>
      <c r="M228" s="82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</row>
    <row r="229" spans="1:35" ht="13.5" customHeight="1">
      <c r="A229" s="55"/>
      <c r="B229" s="55"/>
      <c r="C229" s="55"/>
      <c r="D229" s="55"/>
      <c r="E229" s="70"/>
      <c r="F229" s="55"/>
      <c r="G229" s="17"/>
      <c r="H229" s="17"/>
      <c r="I229" s="55"/>
      <c r="J229" s="55"/>
      <c r="K229" s="55"/>
      <c r="L229" s="55"/>
      <c r="M229" s="82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</row>
    <row r="230" spans="1:35" ht="13.5" customHeight="1">
      <c r="A230" s="55"/>
      <c r="B230" s="55"/>
      <c r="C230" s="55"/>
      <c r="D230" s="55"/>
      <c r="E230" s="70"/>
      <c r="F230" s="55"/>
      <c r="G230" s="17"/>
      <c r="H230" s="17"/>
      <c r="I230" s="55"/>
      <c r="J230" s="55"/>
      <c r="K230" s="55"/>
      <c r="L230" s="55"/>
      <c r="M230" s="82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</row>
    <row r="231" spans="1:35" ht="13.5" customHeight="1">
      <c r="A231" s="55"/>
      <c r="B231" s="55"/>
      <c r="C231" s="55"/>
      <c r="D231" s="55"/>
      <c r="E231" s="70"/>
      <c r="F231" s="55"/>
      <c r="G231" s="17"/>
      <c r="H231" s="17"/>
      <c r="I231" s="55"/>
      <c r="J231" s="55"/>
      <c r="K231" s="55"/>
      <c r="L231" s="55"/>
      <c r="M231" s="82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</row>
    <row r="232" spans="1:35" ht="13.5" customHeight="1">
      <c r="A232" s="55"/>
      <c r="B232" s="55"/>
      <c r="C232" s="55"/>
      <c r="D232" s="55"/>
      <c r="E232" s="70"/>
      <c r="F232" s="55"/>
      <c r="G232" s="17"/>
      <c r="H232" s="17"/>
      <c r="I232" s="55"/>
      <c r="J232" s="55"/>
      <c r="K232" s="55"/>
      <c r="L232" s="55"/>
      <c r="M232" s="82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</row>
    <row r="233" spans="1:35" ht="13.5" customHeight="1">
      <c r="A233" s="55"/>
      <c r="B233" s="55"/>
      <c r="C233" s="55"/>
      <c r="D233" s="55"/>
      <c r="E233" s="70"/>
      <c r="F233" s="55"/>
      <c r="G233" s="17"/>
      <c r="H233" s="17"/>
      <c r="I233" s="55"/>
      <c r="J233" s="55"/>
      <c r="K233" s="55"/>
      <c r="L233" s="55"/>
      <c r="M233" s="82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</row>
    <row r="234" spans="1:35" ht="13.5" customHeight="1">
      <c r="A234" s="55"/>
      <c r="B234" s="55"/>
      <c r="C234" s="55"/>
      <c r="D234" s="55"/>
      <c r="E234" s="70"/>
      <c r="F234" s="55"/>
      <c r="G234" s="17"/>
      <c r="H234" s="17"/>
      <c r="I234" s="55"/>
      <c r="J234" s="55"/>
      <c r="K234" s="55"/>
      <c r="L234" s="55"/>
      <c r="M234" s="82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</row>
    <row r="235" spans="1:35" ht="13.5" customHeight="1">
      <c r="A235" s="55"/>
      <c r="B235" s="55"/>
      <c r="C235" s="55"/>
      <c r="D235" s="55"/>
      <c r="E235" s="70"/>
      <c r="F235" s="55"/>
      <c r="G235" s="17"/>
      <c r="H235" s="17"/>
      <c r="I235" s="55"/>
      <c r="J235" s="55"/>
      <c r="K235" s="55"/>
      <c r="L235" s="55"/>
      <c r="M235" s="82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</row>
    <row r="236" spans="1:35" ht="13.5" customHeight="1">
      <c r="A236" s="55"/>
      <c r="B236" s="55"/>
      <c r="C236" s="55"/>
      <c r="D236" s="55"/>
      <c r="E236" s="70"/>
      <c r="F236" s="55"/>
      <c r="G236" s="17"/>
      <c r="H236" s="17"/>
      <c r="I236" s="55"/>
      <c r="J236" s="55"/>
      <c r="K236" s="55"/>
      <c r="L236" s="55"/>
      <c r="M236" s="82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</row>
    <row r="237" spans="1:35" ht="13.5" customHeight="1">
      <c r="A237" s="55"/>
      <c r="B237" s="55"/>
      <c r="C237" s="55"/>
      <c r="D237" s="55"/>
      <c r="E237" s="70"/>
      <c r="F237" s="55"/>
      <c r="G237" s="17"/>
      <c r="H237" s="17"/>
      <c r="I237" s="55"/>
      <c r="J237" s="55"/>
      <c r="K237" s="55"/>
      <c r="L237" s="55"/>
      <c r="M237" s="82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</row>
    <row r="238" spans="1:35" ht="13.5" customHeight="1">
      <c r="A238" s="55"/>
      <c r="B238" s="55"/>
      <c r="C238" s="55"/>
      <c r="D238" s="55"/>
      <c r="E238" s="70"/>
      <c r="F238" s="55"/>
      <c r="G238" s="17"/>
      <c r="H238" s="17"/>
      <c r="I238" s="55"/>
      <c r="J238" s="55"/>
      <c r="K238" s="55"/>
      <c r="L238" s="55"/>
      <c r="M238" s="82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</row>
    <row r="239" spans="1:35" ht="13.5" customHeight="1">
      <c r="A239" s="55"/>
      <c r="B239" s="55"/>
      <c r="C239" s="55"/>
      <c r="D239" s="55"/>
      <c r="E239" s="70"/>
      <c r="F239" s="55"/>
      <c r="G239" s="17"/>
      <c r="H239" s="17"/>
      <c r="I239" s="55"/>
      <c r="J239" s="55"/>
      <c r="K239" s="55"/>
      <c r="L239" s="55"/>
      <c r="M239" s="82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</row>
    <row r="240" spans="1:35" ht="13.5" customHeight="1">
      <c r="A240" s="55"/>
      <c r="B240" s="55"/>
      <c r="C240" s="55"/>
      <c r="D240" s="55"/>
      <c r="E240" s="70"/>
      <c r="F240" s="55"/>
      <c r="G240" s="17"/>
      <c r="H240" s="17"/>
      <c r="I240" s="55"/>
      <c r="J240" s="55"/>
      <c r="K240" s="55"/>
      <c r="L240" s="55"/>
      <c r="M240" s="82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</row>
    <row r="241" spans="1:35" ht="13.5" customHeight="1">
      <c r="A241" s="55"/>
      <c r="B241" s="55"/>
      <c r="C241" s="55"/>
      <c r="D241" s="55"/>
      <c r="E241" s="70"/>
      <c r="F241" s="55"/>
      <c r="G241" s="17"/>
      <c r="H241" s="17"/>
      <c r="I241" s="55"/>
      <c r="J241" s="55"/>
      <c r="K241" s="55"/>
      <c r="L241" s="55"/>
      <c r="M241" s="82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</row>
    <row r="242" spans="1:35" ht="13.5" customHeight="1">
      <c r="A242" s="55"/>
      <c r="B242" s="55"/>
      <c r="C242" s="55"/>
      <c r="D242" s="55"/>
      <c r="E242" s="70"/>
      <c r="F242" s="55"/>
      <c r="G242" s="17"/>
      <c r="H242" s="17"/>
      <c r="I242" s="55"/>
      <c r="J242" s="55"/>
      <c r="K242" s="55"/>
      <c r="L242" s="55"/>
      <c r="M242" s="82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</row>
    <row r="243" spans="1:35" ht="13.5" customHeight="1">
      <c r="A243" s="55"/>
      <c r="B243" s="55"/>
      <c r="C243" s="55"/>
      <c r="D243" s="55"/>
      <c r="E243" s="70"/>
      <c r="F243" s="55"/>
      <c r="G243" s="17"/>
      <c r="H243" s="17"/>
      <c r="I243" s="55"/>
      <c r="J243" s="55"/>
      <c r="K243" s="55"/>
      <c r="L243" s="55"/>
      <c r="M243" s="82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</row>
    <row r="244" spans="1:35" ht="13.5" customHeight="1">
      <c r="A244" s="55"/>
      <c r="B244" s="55"/>
      <c r="C244" s="55"/>
      <c r="D244" s="55"/>
      <c r="E244" s="70"/>
      <c r="F244" s="55"/>
      <c r="G244" s="17"/>
      <c r="H244" s="17"/>
      <c r="I244" s="55"/>
      <c r="J244" s="55"/>
      <c r="K244" s="55"/>
      <c r="L244" s="55"/>
      <c r="M244" s="82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</row>
    <row r="245" spans="1:35" ht="13.5" customHeight="1">
      <c r="A245" s="55"/>
      <c r="B245" s="55"/>
      <c r="C245" s="55"/>
      <c r="D245" s="55"/>
      <c r="E245" s="70"/>
      <c r="F245" s="55"/>
      <c r="G245" s="17"/>
      <c r="H245" s="17"/>
      <c r="I245" s="55"/>
      <c r="J245" s="55"/>
      <c r="K245" s="55"/>
      <c r="L245" s="55"/>
      <c r="M245" s="82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</row>
    <row r="246" spans="1:35" ht="13.5" customHeight="1">
      <c r="A246" s="55"/>
      <c r="B246" s="55"/>
      <c r="C246" s="55"/>
      <c r="D246" s="55"/>
      <c r="E246" s="70"/>
      <c r="F246" s="55"/>
      <c r="G246" s="17"/>
      <c r="H246" s="17"/>
      <c r="I246" s="55"/>
      <c r="J246" s="55"/>
      <c r="K246" s="55"/>
      <c r="L246" s="55"/>
      <c r="M246" s="82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</row>
    <row r="247" spans="1:35" ht="13.5" customHeight="1">
      <c r="A247" s="55"/>
      <c r="B247" s="55"/>
      <c r="C247" s="55"/>
      <c r="D247" s="55"/>
      <c r="E247" s="70"/>
      <c r="F247" s="55"/>
      <c r="G247" s="17"/>
      <c r="H247" s="17"/>
      <c r="I247" s="55"/>
      <c r="J247" s="55"/>
      <c r="K247" s="55"/>
      <c r="L247" s="55"/>
      <c r="M247" s="82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</row>
    <row r="248" spans="1:35" ht="13.5" customHeight="1">
      <c r="A248" s="55"/>
      <c r="B248" s="55"/>
      <c r="C248" s="55"/>
      <c r="D248" s="55"/>
      <c r="E248" s="70"/>
      <c r="F248" s="55"/>
      <c r="G248" s="17"/>
      <c r="H248" s="17"/>
      <c r="I248" s="55"/>
      <c r="J248" s="55"/>
      <c r="K248" s="55"/>
      <c r="L248" s="55"/>
      <c r="M248" s="82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</row>
    <row r="249" spans="1:35" ht="13.5" customHeight="1">
      <c r="A249" s="55"/>
      <c r="B249" s="55"/>
      <c r="C249" s="55"/>
      <c r="D249" s="55"/>
      <c r="E249" s="70"/>
      <c r="F249" s="55"/>
      <c r="G249" s="17"/>
      <c r="H249" s="17"/>
      <c r="I249" s="55"/>
      <c r="J249" s="55"/>
      <c r="K249" s="55"/>
      <c r="L249" s="55"/>
      <c r="M249" s="82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</row>
    <row r="250" spans="1:35" ht="13.5" customHeight="1">
      <c r="A250" s="55"/>
      <c r="B250" s="55"/>
      <c r="C250" s="55"/>
      <c r="D250" s="55"/>
      <c r="E250" s="70"/>
      <c r="F250" s="55"/>
      <c r="G250" s="17"/>
      <c r="H250" s="17"/>
      <c r="I250" s="55"/>
      <c r="J250" s="55"/>
      <c r="K250" s="55"/>
      <c r="L250" s="55"/>
      <c r="M250" s="82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</row>
    <row r="251" spans="1:35" ht="13.5" customHeight="1">
      <c r="A251" s="55"/>
      <c r="B251" s="55"/>
      <c r="C251" s="55"/>
      <c r="D251" s="55"/>
      <c r="E251" s="70"/>
      <c r="F251" s="55"/>
      <c r="G251" s="17"/>
      <c r="H251" s="17"/>
      <c r="I251" s="55"/>
      <c r="J251" s="55"/>
      <c r="K251" s="55"/>
      <c r="L251" s="55"/>
      <c r="M251" s="82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</row>
    <row r="252" spans="1:35" ht="13.5" customHeight="1">
      <c r="A252" s="55"/>
      <c r="B252" s="55"/>
      <c r="C252" s="55"/>
      <c r="D252" s="55"/>
      <c r="E252" s="70"/>
      <c r="F252" s="55"/>
      <c r="G252" s="17"/>
      <c r="H252" s="17"/>
      <c r="I252" s="55"/>
      <c r="J252" s="55"/>
      <c r="K252" s="55"/>
      <c r="L252" s="55"/>
      <c r="M252" s="82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</row>
    <row r="253" spans="1:35" ht="13.5" customHeight="1">
      <c r="A253" s="55"/>
      <c r="B253" s="55"/>
      <c r="C253" s="55"/>
      <c r="D253" s="55"/>
      <c r="E253" s="70"/>
      <c r="F253" s="55"/>
      <c r="G253" s="17"/>
      <c r="H253" s="17"/>
      <c r="I253" s="55"/>
      <c r="J253" s="55"/>
      <c r="K253" s="55"/>
      <c r="L253" s="55"/>
      <c r="M253" s="82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</row>
    <row r="254" spans="1:35" ht="13.5" customHeight="1">
      <c r="A254" s="55"/>
      <c r="B254" s="55"/>
      <c r="C254" s="55"/>
      <c r="D254" s="55"/>
      <c r="E254" s="70"/>
      <c r="F254" s="55"/>
      <c r="G254" s="17"/>
      <c r="H254" s="17"/>
      <c r="I254" s="55"/>
      <c r="J254" s="55"/>
      <c r="K254" s="55"/>
      <c r="L254" s="55"/>
      <c r="M254" s="82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</row>
    <row r="255" spans="1:35" ht="13.5" customHeight="1">
      <c r="A255" s="55"/>
      <c r="B255" s="55"/>
      <c r="C255" s="55"/>
      <c r="D255" s="55"/>
      <c r="E255" s="70"/>
      <c r="F255" s="55"/>
      <c r="G255" s="17"/>
      <c r="H255" s="17"/>
      <c r="I255" s="55"/>
      <c r="J255" s="55"/>
      <c r="K255" s="55"/>
      <c r="L255" s="55"/>
      <c r="M255" s="82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</row>
    <row r="256" spans="1:35" ht="13.5" customHeight="1">
      <c r="A256" s="55"/>
      <c r="B256" s="55"/>
      <c r="C256" s="55"/>
      <c r="D256" s="55"/>
      <c r="E256" s="70"/>
      <c r="F256" s="55"/>
      <c r="G256" s="17"/>
      <c r="H256" s="17"/>
      <c r="I256" s="55"/>
      <c r="J256" s="55"/>
      <c r="K256" s="55"/>
      <c r="L256" s="55"/>
      <c r="M256" s="82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</row>
    <row r="257" spans="1:35" ht="13.5" customHeight="1">
      <c r="A257" s="55"/>
      <c r="B257" s="55"/>
      <c r="C257" s="55"/>
      <c r="D257" s="55"/>
      <c r="E257" s="70"/>
      <c r="F257" s="55"/>
      <c r="G257" s="17"/>
      <c r="H257" s="17"/>
      <c r="I257" s="55"/>
      <c r="J257" s="55"/>
      <c r="K257" s="55"/>
      <c r="L257" s="55"/>
      <c r="M257" s="82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</row>
    <row r="258" spans="1:35" ht="13.5" customHeight="1">
      <c r="A258" s="55"/>
      <c r="B258" s="55"/>
      <c r="C258" s="55"/>
      <c r="D258" s="55"/>
      <c r="E258" s="70"/>
      <c r="F258" s="55"/>
      <c r="G258" s="17"/>
      <c r="H258" s="17"/>
      <c r="I258" s="55"/>
      <c r="J258" s="55"/>
      <c r="K258" s="55"/>
      <c r="L258" s="55"/>
      <c r="M258" s="82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</row>
    <row r="259" spans="1:35" ht="13.5" customHeight="1">
      <c r="A259" s="55"/>
      <c r="B259" s="55"/>
      <c r="C259" s="55"/>
      <c r="D259" s="55"/>
      <c r="E259" s="70"/>
      <c r="F259" s="55"/>
      <c r="G259" s="17"/>
      <c r="H259" s="17"/>
      <c r="I259" s="55"/>
      <c r="J259" s="55"/>
      <c r="K259" s="55"/>
      <c r="L259" s="55"/>
      <c r="M259" s="82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</row>
    <row r="260" spans="1:35" ht="13.5" customHeight="1">
      <c r="A260" s="55"/>
      <c r="B260" s="55"/>
      <c r="C260" s="55"/>
      <c r="D260" s="55"/>
      <c r="E260" s="70"/>
      <c r="F260" s="55"/>
      <c r="G260" s="17"/>
      <c r="H260" s="17"/>
      <c r="I260" s="55"/>
      <c r="J260" s="55"/>
      <c r="K260" s="55"/>
      <c r="L260" s="55"/>
      <c r="M260" s="82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</row>
    <row r="261" spans="1:35" ht="13.5" customHeight="1">
      <c r="A261" s="55"/>
      <c r="B261" s="55"/>
      <c r="C261" s="55"/>
      <c r="D261" s="55"/>
      <c r="E261" s="70"/>
      <c r="F261" s="55"/>
      <c r="G261" s="17"/>
      <c r="H261" s="17"/>
      <c r="I261" s="55"/>
      <c r="J261" s="55"/>
      <c r="K261" s="55"/>
      <c r="L261" s="55"/>
      <c r="M261" s="82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</row>
    <row r="262" spans="1:35" ht="13.5" customHeight="1">
      <c r="A262" s="55"/>
      <c r="B262" s="55"/>
      <c r="C262" s="55"/>
      <c r="D262" s="55"/>
      <c r="E262" s="70"/>
      <c r="F262" s="55"/>
      <c r="G262" s="17"/>
      <c r="H262" s="17"/>
      <c r="I262" s="55"/>
      <c r="J262" s="55"/>
      <c r="K262" s="55"/>
      <c r="L262" s="55"/>
      <c r="M262" s="82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</row>
    <row r="263" spans="1:35" ht="13.5" customHeight="1">
      <c r="A263" s="55"/>
      <c r="B263" s="55"/>
      <c r="C263" s="55"/>
      <c r="D263" s="55"/>
      <c r="E263" s="70"/>
      <c r="F263" s="55"/>
      <c r="G263" s="17"/>
      <c r="H263" s="17"/>
      <c r="I263" s="55"/>
      <c r="J263" s="55"/>
      <c r="K263" s="55"/>
      <c r="L263" s="55"/>
      <c r="M263" s="82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</row>
    <row r="264" spans="1:35" ht="13.5" customHeight="1">
      <c r="A264" s="55"/>
      <c r="B264" s="55"/>
      <c r="C264" s="55"/>
      <c r="D264" s="55"/>
      <c r="E264" s="70"/>
      <c r="F264" s="55"/>
      <c r="G264" s="17"/>
      <c r="H264" s="17"/>
      <c r="I264" s="55"/>
      <c r="J264" s="55"/>
      <c r="K264" s="55"/>
      <c r="L264" s="55"/>
      <c r="M264" s="82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</row>
    <row r="265" spans="1:35" ht="13.5" customHeight="1">
      <c r="A265" s="55"/>
      <c r="B265" s="55"/>
      <c r="C265" s="55"/>
      <c r="D265" s="55"/>
      <c r="E265" s="70"/>
      <c r="F265" s="55"/>
      <c r="G265" s="17"/>
      <c r="H265" s="17"/>
      <c r="I265" s="55"/>
      <c r="J265" s="55"/>
      <c r="K265" s="55"/>
      <c r="L265" s="55"/>
      <c r="M265" s="82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</row>
    <row r="266" spans="1:35" ht="13.5" customHeight="1">
      <c r="A266" s="55"/>
      <c r="B266" s="55"/>
      <c r="C266" s="55"/>
      <c r="D266" s="55"/>
      <c r="E266" s="70"/>
      <c r="F266" s="55"/>
      <c r="G266" s="17"/>
      <c r="H266" s="17"/>
      <c r="I266" s="55"/>
      <c r="J266" s="55"/>
      <c r="K266" s="55"/>
      <c r="L266" s="55"/>
      <c r="M266" s="82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</row>
    <row r="267" spans="1:35" ht="13.5" customHeight="1">
      <c r="A267" s="55"/>
      <c r="B267" s="55"/>
      <c r="C267" s="55"/>
      <c r="D267" s="55"/>
      <c r="E267" s="70"/>
      <c r="F267" s="55"/>
      <c r="G267" s="17"/>
      <c r="H267" s="17"/>
      <c r="I267" s="55"/>
      <c r="J267" s="55"/>
      <c r="K267" s="55"/>
      <c r="L267" s="55"/>
      <c r="M267" s="82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</row>
    <row r="268" spans="1:35" ht="13.5" customHeight="1">
      <c r="A268" s="55"/>
      <c r="B268" s="55"/>
      <c r="C268" s="55"/>
      <c r="D268" s="55"/>
      <c r="E268" s="70"/>
      <c r="F268" s="55"/>
      <c r="G268" s="17"/>
      <c r="H268" s="17"/>
      <c r="I268" s="55"/>
      <c r="J268" s="55"/>
      <c r="K268" s="55"/>
      <c r="L268" s="55"/>
      <c r="M268" s="82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</row>
    <row r="269" spans="1:35" ht="13.5" customHeight="1">
      <c r="A269" s="55"/>
      <c r="B269" s="55"/>
      <c r="C269" s="55"/>
      <c r="D269" s="55"/>
      <c r="E269" s="70"/>
      <c r="F269" s="55"/>
      <c r="G269" s="17"/>
      <c r="H269" s="17"/>
      <c r="I269" s="55"/>
      <c r="J269" s="55"/>
      <c r="K269" s="55"/>
      <c r="L269" s="55"/>
      <c r="M269" s="82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</row>
    <row r="270" spans="1:35" ht="13.5" customHeight="1">
      <c r="A270" s="55"/>
      <c r="B270" s="55"/>
      <c r="C270" s="55"/>
      <c r="D270" s="55"/>
      <c r="E270" s="70"/>
      <c r="F270" s="55"/>
      <c r="G270" s="17"/>
      <c r="H270" s="17"/>
      <c r="I270" s="55"/>
      <c r="J270" s="55"/>
      <c r="K270" s="55"/>
      <c r="L270" s="55"/>
      <c r="M270" s="82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</row>
    <row r="271" spans="1:35" ht="13.5" customHeight="1">
      <c r="A271" s="55"/>
      <c r="B271" s="55"/>
      <c r="C271" s="55"/>
      <c r="D271" s="55"/>
      <c r="E271" s="70"/>
      <c r="F271" s="55"/>
      <c r="G271" s="17"/>
      <c r="H271" s="17"/>
      <c r="I271" s="55"/>
      <c r="J271" s="55"/>
      <c r="K271" s="55"/>
      <c r="L271" s="55"/>
      <c r="M271" s="82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</row>
    <row r="272" spans="1:35" ht="13.5" customHeight="1">
      <c r="A272" s="55"/>
      <c r="B272" s="55"/>
      <c r="C272" s="55"/>
      <c r="D272" s="55"/>
      <c r="E272" s="70"/>
      <c r="F272" s="55"/>
      <c r="G272" s="17"/>
      <c r="H272" s="17"/>
      <c r="I272" s="55"/>
      <c r="J272" s="55"/>
      <c r="K272" s="55"/>
      <c r="L272" s="55"/>
      <c r="M272" s="82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</row>
    <row r="273" spans="1:35" ht="13.5" customHeight="1">
      <c r="A273" s="55"/>
      <c r="B273" s="55"/>
      <c r="C273" s="55"/>
      <c r="D273" s="55"/>
      <c r="E273" s="70"/>
      <c r="F273" s="55"/>
      <c r="G273" s="17"/>
      <c r="H273" s="17"/>
      <c r="I273" s="55"/>
      <c r="J273" s="55"/>
      <c r="K273" s="55"/>
      <c r="L273" s="55"/>
      <c r="M273" s="82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</row>
    <row r="274" spans="1:35" ht="13.5" customHeight="1">
      <c r="A274" s="55"/>
      <c r="B274" s="55"/>
      <c r="C274" s="55"/>
      <c r="D274" s="55"/>
      <c r="E274" s="70"/>
      <c r="F274" s="55"/>
      <c r="G274" s="17"/>
      <c r="H274" s="17"/>
      <c r="I274" s="55"/>
      <c r="J274" s="55"/>
      <c r="K274" s="55"/>
      <c r="L274" s="55"/>
      <c r="M274" s="82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</row>
    <row r="275" spans="1:35" ht="13.5" customHeight="1">
      <c r="A275" s="55"/>
      <c r="B275" s="55"/>
      <c r="C275" s="55"/>
      <c r="D275" s="55"/>
      <c r="E275" s="70"/>
      <c r="F275" s="55"/>
      <c r="G275" s="17"/>
      <c r="H275" s="17"/>
      <c r="I275" s="55"/>
      <c r="J275" s="55"/>
      <c r="K275" s="55"/>
      <c r="L275" s="55"/>
      <c r="M275" s="82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</row>
    <row r="276" spans="1:35" ht="13.5" customHeight="1">
      <c r="A276" s="55"/>
      <c r="B276" s="55"/>
      <c r="C276" s="55"/>
      <c r="D276" s="55"/>
      <c r="E276" s="70"/>
      <c r="F276" s="55"/>
      <c r="G276" s="17"/>
      <c r="H276" s="17"/>
      <c r="I276" s="55"/>
      <c r="J276" s="55"/>
      <c r="K276" s="55"/>
      <c r="L276" s="55"/>
      <c r="M276" s="82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</row>
    <row r="277" spans="1:35" ht="13.5" customHeight="1">
      <c r="A277" s="55"/>
      <c r="B277" s="55"/>
      <c r="C277" s="55"/>
      <c r="D277" s="55"/>
      <c r="E277" s="70"/>
      <c r="F277" s="55"/>
      <c r="G277" s="17"/>
      <c r="H277" s="17"/>
      <c r="I277" s="55"/>
      <c r="J277" s="55"/>
      <c r="K277" s="55"/>
      <c r="L277" s="55"/>
      <c r="M277" s="82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</row>
    <row r="278" spans="1:35" ht="13.5" customHeight="1">
      <c r="A278" s="55"/>
      <c r="B278" s="55"/>
      <c r="C278" s="55"/>
      <c r="D278" s="55"/>
      <c r="E278" s="70"/>
      <c r="F278" s="55"/>
      <c r="G278" s="17"/>
      <c r="H278" s="17"/>
      <c r="I278" s="55"/>
      <c r="J278" s="55"/>
      <c r="K278" s="55"/>
      <c r="L278" s="55"/>
      <c r="M278" s="82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</row>
    <row r="279" spans="1:35" ht="13.5" customHeight="1">
      <c r="A279" s="55"/>
      <c r="B279" s="55"/>
      <c r="C279" s="55"/>
      <c r="D279" s="55"/>
      <c r="E279" s="70"/>
      <c r="F279" s="55"/>
      <c r="G279" s="17"/>
      <c r="H279" s="17"/>
      <c r="I279" s="55"/>
      <c r="J279" s="55"/>
      <c r="K279" s="55"/>
      <c r="L279" s="55"/>
      <c r="M279" s="82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</row>
    <row r="280" spans="1:35" ht="13.5" customHeight="1">
      <c r="A280" s="55"/>
      <c r="B280" s="55"/>
      <c r="C280" s="55"/>
      <c r="D280" s="55"/>
      <c r="E280" s="70"/>
      <c r="F280" s="55"/>
      <c r="G280" s="17"/>
      <c r="H280" s="17"/>
      <c r="I280" s="55"/>
      <c r="J280" s="55"/>
      <c r="K280" s="55"/>
      <c r="L280" s="55"/>
      <c r="M280" s="82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</row>
    <row r="281" spans="1:35" ht="13.5" customHeight="1">
      <c r="A281" s="55"/>
      <c r="B281" s="55"/>
      <c r="C281" s="55"/>
      <c r="D281" s="55"/>
      <c r="E281" s="70"/>
      <c r="F281" s="55"/>
      <c r="G281" s="17"/>
      <c r="H281" s="17"/>
      <c r="I281" s="55"/>
      <c r="J281" s="55"/>
      <c r="K281" s="55"/>
      <c r="L281" s="55"/>
      <c r="M281" s="82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</row>
    <row r="282" spans="1:35" ht="13.5" customHeight="1">
      <c r="A282" s="55"/>
      <c r="B282" s="55"/>
      <c r="C282" s="55"/>
      <c r="D282" s="55"/>
      <c r="E282" s="70"/>
      <c r="F282" s="55"/>
      <c r="G282" s="17"/>
      <c r="H282" s="17"/>
      <c r="I282" s="55"/>
      <c r="J282" s="55"/>
      <c r="K282" s="55"/>
      <c r="L282" s="55"/>
      <c r="M282" s="82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</row>
    <row r="283" spans="1:35" ht="13.5" customHeight="1">
      <c r="A283" s="55"/>
      <c r="B283" s="55"/>
      <c r="C283" s="55"/>
      <c r="D283" s="55"/>
      <c r="E283" s="70"/>
      <c r="F283" s="55"/>
      <c r="G283" s="17"/>
      <c r="H283" s="17"/>
      <c r="I283" s="55"/>
      <c r="J283" s="55"/>
      <c r="K283" s="55"/>
      <c r="L283" s="55"/>
      <c r="M283" s="82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</row>
    <row r="284" spans="1:35" ht="13.5" customHeight="1">
      <c r="A284" s="55"/>
      <c r="B284" s="55"/>
      <c r="C284" s="55"/>
      <c r="D284" s="55"/>
      <c r="E284" s="70"/>
      <c r="F284" s="55"/>
      <c r="G284" s="17"/>
      <c r="H284" s="17"/>
      <c r="I284" s="55"/>
      <c r="J284" s="55"/>
      <c r="K284" s="55"/>
      <c r="L284" s="55"/>
      <c r="M284" s="82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</row>
    <row r="285" spans="1:35" ht="13.5" customHeight="1">
      <c r="A285" s="55"/>
      <c r="B285" s="55"/>
      <c r="C285" s="55"/>
      <c r="D285" s="55"/>
      <c r="E285" s="70"/>
      <c r="F285" s="55"/>
      <c r="G285" s="17"/>
      <c r="H285" s="17"/>
      <c r="I285" s="55"/>
      <c r="J285" s="55"/>
      <c r="K285" s="55"/>
      <c r="L285" s="55"/>
      <c r="M285" s="82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</row>
    <row r="286" spans="1:35" ht="13.5" customHeight="1">
      <c r="A286" s="55"/>
      <c r="B286" s="55"/>
      <c r="C286" s="55"/>
      <c r="D286" s="55"/>
      <c r="E286" s="70"/>
      <c r="F286" s="55"/>
      <c r="G286" s="17"/>
      <c r="H286" s="17"/>
      <c r="I286" s="55"/>
      <c r="J286" s="55"/>
      <c r="K286" s="55"/>
      <c r="L286" s="55"/>
      <c r="M286" s="82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</row>
    <row r="287" spans="1:35" ht="13.5" customHeight="1">
      <c r="A287" s="55"/>
      <c r="B287" s="55"/>
      <c r="C287" s="55"/>
      <c r="D287" s="55"/>
      <c r="E287" s="70"/>
      <c r="F287" s="55"/>
      <c r="G287" s="17"/>
      <c r="H287" s="17"/>
      <c r="I287" s="55"/>
      <c r="J287" s="55"/>
      <c r="K287" s="55"/>
      <c r="L287" s="55"/>
      <c r="M287" s="82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</row>
    <row r="288" spans="1:35" ht="13.5" customHeight="1">
      <c r="A288" s="55"/>
      <c r="B288" s="55"/>
      <c r="C288" s="55"/>
      <c r="D288" s="55"/>
      <c r="E288" s="70"/>
      <c r="F288" s="55"/>
      <c r="G288" s="17"/>
      <c r="H288" s="17"/>
      <c r="I288" s="55"/>
      <c r="J288" s="55"/>
      <c r="K288" s="55"/>
      <c r="L288" s="55"/>
      <c r="M288" s="82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</row>
    <row r="289" spans="1:35" ht="13.5" customHeight="1">
      <c r="A289" s="55"/>
      <c r="B289" s="55"/>
      <c r="C289" s="55"/>
      <c r="D289" s="55"/>
      <c r="E289" s="70"/>
      <c r="F289" s="55"/>
      <c r="G289" s="17"/>
      <c r="H289" s="17"/>
      <c r="I289" s="55"/>
      <c r="J289" s="55"/>
      <c r="K289" s="55"/>
      <c r="L289" s="55"/>
      <c r="M289" s="82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</row>
    <row r="290" spans="1:35" ht="13.5" customHeight="1">
      <c r="A290" s="55"/>
      <c r="B290" s="55"/>
      <c r="C290" s="55"/>
      <c r="D290" s="55"/>
      <c r="E290" s="70"/>
      <c r="F290" s="55"/>
      <c r="G290" s="17"/>
      <c r="H290" s="17"/>
      <c r="I290" s="55"/>
      <c r="J290" s="55"/>
      <c r="K290" s="55"/>
      <c r="L290" s="55"/>
      <c r="M290" s="82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</row>
    <row r="291" spans="1:35" ht="13.5" customHeight="1">
      <c r="A291" s="55"/>
      <c r="B291" s="55"/>
      <c r="C291" s="55"/>
      <c r="D291" s="55"/>
      <c r="E291" s="70"/>
      <c r="F291" s="55"/>
      <c r="G291" s="17"/>
      <c r="H291" s="17"/>
      <c r="I291" s="55"/>
      <c r="J291" s="55"/>
      <c r="K291" s="55"/>
      <c r="L291" s="55"/>
      <c r="M291" s="82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</row>
    <row r="292" spans="1:35" ht="13.5" customHeight="1">
      <c r="A292" s="55"/>
      <c r="B292" s="55"/>
      <c r="C292" s="55"/>
      <c r="D292" s="55"/>
      <c r="E292" s="70"/>
      <c r="F292" s="55"/>
      <c r="G292" s="17"/>
      <c r="H292" s="17"/>
      <c r="I292" s="55"/>
      <c r="J292" s="55"/>
      <c r="K292" s="55"/>
      <c r="L292" s="55"/>
      <c r="M292" s="82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</row>
    <row r="293" spans="1:35" ht="13.5" customHeight="1">
      <c r="A293" s="55"/>
      <c r="B293" s="55"/>
      <c r="C293" s="55"/>
      <c r="D293" s="55"/>
      <c r="E293" s="70"/>
      <c r="F293" s="55"/>
      <c r="G293" s="17"/>
      <c r="H293" s="17"/>
      <c r="I293" s="55"/>
      <c r="J293" s="55"/>
      <c r="K293" s="55"/>
      <c r="L293" s="55"/>
      <c r="M293" s="82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</row>
    <row r="294" spans="1:35" ht="13.5" customHeight="1">
      <c r="A294" s="55"/>
      <c r="B294" s="55"/>
      <c r="C294" s="55"/>
      <c r="D294" s="55"/>
      <c r="E294" s="70"/>
      <c r="F294" s="55"/>
      <c r="G294" s="17"/>
      <c r="H294" s="17"/>
      <c r="I294" s="55"/>
      <c r="J294" s="55"/>
      <c r="K294" s="55"/>
      <c r="L294" s="55"/>
      <c r="M294" s="82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</row>
    <row r="295" spans="1:35" ht="13.5" customHeight="1">
      <c r="A295" s="55"/>
      <c r="B295" s="55"/>
      <c r="C295" s="55"/>
      <c r="D295" s="55"/>
      <c r="E295" s="70"/>
      <c r="F295" s="55"/>
      <c r="G295" s="17"/>
      <c r="H295" s="17"/>
      <c r="I295" s="55"/>
      <c r="J295" s="55"/>
      <c r="K295" s="55"/>
      <c r="L295" s="55"/>
      <c r="M295" s="82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</row>
    <row r="296" spans="1:35" ht="13.5" customHeight="1">
      <c r="A296" s="55"/>
      <c r="B296" s="55"/>
      <c r="C296" s="55"/>
      <c r="D296" s="55"/>
      <c r="E296" s="70"/>
      <c r="F296" s="55"/>
      <c r="G296" s="17"/>
      <c r="H296" s="17"/>
      <c r="I296" s="55"/>
      <c r="J296" s="55"/>
      <c r="K296" s="55"/>
      <c r="L296" s="55"/>
      <c r="M296" s="82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</row>
    <row r="297" spans="1:35" ht="13.5" customHeight="1">
      <c r="A297" s="55"/>
      <c r="B297" s="55"/>
      <c r="C297" s="55"/>
      <c r="D297" s="55"/>
      <c r="E297" s="70"/>
      <c r="F297" s="55"/>
      <c r="G297" s="17"/>
      <c r="H297" s="17"/>
      <c r="I297" s="55"/>
      <c r="J297" s="55"/>
      <c r="K297" s="55"/>
      <c r="L297" s="55"/>
      <c r="M297" s="82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</row>
    <row r="298" spans="1:35" ht="13.5" customHeight="1">
      <c r="A298" s="55"/>
      <c r="B298" s="55"/>
      <c r="C298" s="55"/>
      <c r="D298" s="55"/>
      <c r="E298" s="70"/>
      <c r="F298" s="55"/>
      <c r="G298" s="17"/>
      <c r="H298" s="17"/>
      <c r="I298" s="55"/>
      <c r="J298" s="55"/>
      <c r="K298" s="55"/>
      <c r="L298" s="55"/>
      <c r="M298" s="82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</row>
    <row r="299" spans="1:35" ht="13.5" customHeight="1">
      <c r="A299" s="55"/>
      <c r="B299" s="55"/>
      <c r="C299" s="55"/>
      <c r="D299" s="55"/>
      <c r="E299" s="70"/>
      <c r="F299" s="55"/>
      <c r="G299" s="17"/>
      <c r="H299" s="17"/>
      <c r="I299" s="55"/>
      <c r="J299" s="55"/>
      <c r="K299" s="55"/>
      <c r="L299" s="55"/>
      <c r="M299" s="82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</row>
    <row r="300" spans="1:35" ht="13.5" customHeight="1">
      <c r="A300" s="55"/>
      <c r="B300" s="55"/>
      <c r="C300" s="55"/>
      <c r="D300" s="55"/>
      <c r="E300" s="70"/>
      <c r="F300" s="55"/>
      <c r="G300" s="17"/>
      <c r="H300" s="17"/>
      <c r="I300" s="55"/>
      <c r="J300" s="55"/>
      <c r="K300" s="55"/>
      <c r="L300" s="55"/>
      <c r="M300" s="82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</row>
    <row r="301" spans="1:35" ht="13.5" customHeight="1">
      <c r="A301" s="55"/>
      <c r="B301" s="55"/>
      <c r="C301" s="55"/>
      <c r="D301" s="55"/>
      <c r="E301" s="70"/>
      <c r="F301" s="55"/>
      <c r="G301" s="17"/>
      <c r="H301" s="17"/>
      <c r="I301" s="55"/>
      <c r="J301" s="55"/>
      <c r="K301" s="55"/>
      <c r="L301" s="55"/>
      <c r="M301" s="82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</row>
    <row r="302" spans="1:35" ht="13.5" customHeight="1">
      <c r="A302" s="55"/>
      <c r="B302" s="55"/>
      <c r="C302" s="55"/>
      <c r="D302" s="55"/>
      <c r="E302" s="70"/>
      <c r="F302" s="55"/>
      <c r="G302" s="17"/>
      <c r="H302" s="17"/>
      <c r="I302" s="55"/>
      <c r="J302" s="55"/>
      <c r="K302" s="55"/>
      <c r="L302" s="55"/>
      <c r="M302" s="82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</row>
    <row r="303" spans="1:35" ht="13.5" customHeight="1">
      <c r="A303" s="55"/>
      <c r="B303" s="55"/>
      <c r="C303" s="55"/>
      <c r="D303" s="55"/>
      <c r="E303" s="70"/>
      <c r="F303" s="55"/>
      <c r="G303" s="17"/>
      <c r="H303" s="17"/>
      <c r="I303" s="55"/>
      <c r="J303" s="55"/>
      <c r="K303" s="55"/>
      <c r="L303" s="55"/>
      <c r="M303" s="82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</row>
    <row r="304" spans="1:35" ht="13.5" customHeight="1">
      <c r="A304" s="55"/>
      <c r="B304" s="55"/>
      <c r="C304" s="55"/>
      <c r="D304" s="55"/>
      <c r="E304" s="70"/>
      <c r="F304" s="55"/>
      <c r="G304" s="17"/>
      <c r="H304" s="17"/>
      <c r="I304" s="55"/>
      <c r="J304" s="55"/>
      <c r="K304" s="55"/>
      <c r="L304" s="55"/>
      <c r="M304" s="82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</row>
    <row r="305" spans="1:35" ht="13.5" customHeight="1">
      <c r="A305" s="55"/>
      <c r="B305" s="55"/>
      <c r="C305" s="55"/>
      <c r="D305" s="55"/>
      <c r="E305" s="70"/>
      <c r="F305" s="55"/>
      <c r="G305" s="17"/>
      <c r="H305" s="17"/>
      <c r="I305" s="55"/>
      <c r="J305" s="55"/>
      <c r="K305" s="55"/>
      <c r="L305" s="55"/>
      <c r="M305" s="82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</row>
    <row r="306" spans="1:35" ht="13.5" customHeight="1">
      <c r="A306" s="55"/>
      <c r="B306" s="55"/>
      <c r="C306" s="55"/>
      <c r="D306" s="55"/>
      <c r="E306" s="70"/>
      <c r="F306" s="55"/>
      <c r="G306" s="17"/>
      <c r="H306" s="17"/>
      <c r="I306" s="55"/>
      <c r="J306" s="55"/>
      <c r="K306" s="55"/>
      <c r="L306" s="55"/>
      <c r="M306" s="82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</row>
    <row r="307" spans="1:35" ht="13.5" customHeight="1">
      <c r="A307" s="55"/>
      <c r="B307" s="55"/>
      <c r="C307" s="55"/>
      <c r="D307" s="55"/>
      <c r="E307" s="70"/>
      <c r="F307" s="55"/>
      <c r="G307" s="17"/>
      <c r="H307" s="17"/>
      <c r="I307" s="55"/>
      <c r="J307" s="55"/>
      <c r="K307" s="55"/>
      <c r="L307" s="55"/>
      <c r="M307" s="82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</row>
    <row r="308" spans="1:35" ht="13.5" customHeight="1">
      <c r="A308" s="55"/>
      <c r="B308" s="55"/>
      <c r="C308" s="55"/>
      <c r="D308" s="55"/>
      <c r="E308" s="70"/>
      <c r="F308" s="55"/>
      <c r="G308" s="17"/>
      <c r="H308" s="17"/>
      <c r="I308" s="55"/>
      <c r="J308" s="55"/>
      <c r="K308" s="55"/>
      <c r="L308" s="55"/>
      <c r="M308" s="82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</row>
    <row r="309" spans="1:35" ht="13.5" customHeight="1">
      <c r="A309" s="55"/>
      <c r="B309" s="55"/>
      <c r="C309" s="55"/>
      <c r="D309" s="55"/>
      <c r="E309" s="70"/>
      <c r="F309" s="55"/>
      <c r="G309" s="17"/>
      <c r="H309" s="17"/>
      <c r="I309" s="55"/>
      <c r="J309" s="55"/>
      <c r="K309" s="55"/>
      <c r="L309" s="55"/>
      <c r="M309" s="82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</row>
    <row r="310" spans="1:35" ht="13.5" customHeight="1">
      <c r="A310" s="55"/>
      <c r="B310" s="55"/>
      <c r="C310" s="55"/>
      <c r="D310" s="55"/>
      <c r="E310" s="70"/>
      <c r="F310" s="55"/>
      <c r="G310" s="17"/>
      <c r="H310" s="17"/>
      <c r="I310" s="55"/>
      <c r="J310" s="55"/>
      <c r="K310" s="55"/>
      <c r="L310" s="55"/>
      <c r="M310" s="82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</row>
    <row r="311" spans="1:35" ht="13.5" customHeight="1">
      <c r="A311" s="55"/>
      <c r="B311" s="55"/>
      <c r="C311" s="55"/>
      <c r="D311" s="55"/>
      <c r="E311" s="70"/>
      <c r="F311" s="55"/>
      <c r="G311" s="17"/>
      <c r="H311" s="17"/>
      <c r="I311" s="55"/>
      <c r="J311" s="55"/>
      <c r="K311" s="55"/>
      <c r="L311" s="55"/>
      <c r="M311" s="82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</row>
    <row r="312" spans="1:35" ht="13.5" customHeight="1">
      <c r="A312" s="55"/>
      <c r="B312" s="55"/>
      <c r="C312" s="55"/>
      <c r="D312" s="55"/>
      <c r="E312" s="70"/>
      <c r="F312" s="55"/>
      <c r="G312" s="17"/>
      <c r="H312" s="17"/>
      <c r="I312" s="55"/>
      <c r="J312" s="55"/>
      <c r="K312" s="55"/>
      <c r="L312" s="55"/>
      <c r="M312" s="82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</row>
    <row r="313" spans="1:35" ht="13.5" customHeight="1">
      <c r="A313" s="55"/>
      <c r="B313" s="55"/>
      <c r="C313" s="55"/>
      <c r="D313" s="55"/>
      <c r="E313" s="70"/>
      <c r="F313" s="55"/>
      <c r="G313" s="17"/>
      <c r="H313" s="17"/>
      <c r="I313" s="55"/>
      <c r="J313" s="55"/>
      <c r="K313" s="55"/>
      <c r="L313" s="55"/>
      <c r="M313" s="82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</row>
    <row r="314" spans="1:35" ht="13.5" customHeight="1">
      <c r="A314" s="55"/>
      <c r="B314" s="55"/>
      <c r="C314" s="55"/>
      <c r="D314" s="55"/>
      <c r="E314" s="70"/>
      <c r="F314" s="55"/>
      <c r="G314" s="17"/>
      <c r="H314" s="17"/>
      <c r="I314" s="55"/>
      <c r="J314" s="55"/>
      <c r="K314" s="55"/>
      <c r="L314" s="55"/>
      <c r="M314" s="82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</row>
    <row r="315" spans="1:35" ht="13.5" customHeight="1">
      <c r="A315" s="55"/>
      <c r="B315" s="55"/>
      <c r="C315" s="55"/>
      <c r="D315" s="55"/>
      <c r="E315" s="70"/>
      <c r="F315" s="55"/>
      <c r="G315" s="17"/>
      <c r="H315" s="17"/>
      <c r="I315" s="55"/>
      <c r="J315" s="55"/>
      <c r="K315" s="55"/>
      <c r="L315" s="55"/>
      <c r="M315" s="82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</row>
    <row r="316" spans="1:35" ht="13.5" customHeight="1">
      <c r="A316" s="55"/>
      <c r="B316" s="55"/>
      <c r="C316" s="55"/>
      <c r="D316" s="55"/>
      <c r="E316" s="70"/>
      <c r="F316" s="55"/>
      <c r="G316" s="17"/>
      <c r="H316" s="17"/>
      <c r="I316" s="55"/>
      <c r="J316" s="55"/>
      <c r="K316" s="55"/>
      <c r="L316" s="55"/>
      <c r="M316" s="82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</row>
    <row r="317" spans="1:35" ht="13.5" customHeight="1">
      <c r="A317" s="55"/>
      <c r="B317" s="55"/>
      <c r="C317" s="55"/>
      <c r="D317" s="55"/>
      <c r="E317" s="70"/>
      <c r="F317" s="55"/>
      <c r="G317" s="17"/>
      <c r="H317" s="17"/>
      <c r="I317" s="55"/>
      <c r="J317" s="55"/>
      <c r="K317" s="55"/>
      <c r="L317" s="55"/>
      <c r="M317" s="82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</row>
    <row r="318" spans="1:35" ht="13.5" customHeight="1">
      <c r="A318" s="55"/>
      <c r="B318" s="55"/>
      <c r="C318" s="55"/>
      <c r="D318" s="55"/>
      <c r="E318" s="70"/>
      <c r="F318" s="55"/>
      <c r="G318" s="17"/>
      <c r="H318" s="17"/>
      <c r="I318" s="55"/>
      <c r="J318" s="55"/>
      <c r="K318" s="55"/>
      <c r="L318" s="55"/>
      <c r="M318" s="82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</row>
    <row r="319" spans="1:35" ht="13.5" customHeight="1">
      <c r="A319" s="55"/>
      <c r="B319" s="55"/>
      <c r="C319" s="55"/>
      <c r="D319" s="55"/>
      <c r="E319" s="70"/>
      <c r="F319" s="55"/>
      <c r="G319" s="17"/>
      <c r="H319" s="17"/>
      <c r="I319" s="55"/>
      <c r="J319" s="55"/>
      <c r="K319" s="55"/>
      <c r="L319" s="55"/>
      <c r="M319" s="82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</row>
    <row r="320" spans="1:35" ht="13.5" customHeight="1">
      <c r="A320" s="55"/>
      <c r="B320" s="55"/>
      <c r="C320" s="55"/>
      <c r="D320" s="55"/>
      <c r="E320" s="70"/>
      <c r="F320" s="55"/>
      <c r="G320" s="17"/>
      <c r="H320" s="17"/>
      <c r="I320" s="55"/>
      <c r="J320" s="55"/>
      <c r="K320" s="55"/>
      <c r="L320" s="55"/>
      <c r="M320" s="82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</row>
    <row r="321" spans="1:35" ht="13.5" customHeight="1">
      <c r="A321" s="55"/>
      <c r="B321" s="55"/>
      <c r="C321" s="55"/>
      <c r="D321" s="55"/>
      <c r="E321" s="70"/>
      <c r="F321" s="55"/>
      <c r="G321" s="17"/>
      <c r="H321" s="17"/>
      <c r="I321" s="55"/>
      <c r="J321" s="55"/>
      <c r="K321" s="55"/>
      <c r="L321" s="55"/>
      <c r="M321" s="82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</row>
    <row r="322" spans="1:35" ht="13.5" customHeight="1">
      <c r="A322" s="55"/>
      <c r="B322" s="55"/>
      <c r="C322" s="55"/>
      <c r="D322" s="55"/>
      <c r="E322" s="70"/>
      <c r="F322" s="55"/>
      <c r="G322" s="17"/>
      <c r="H322" s="17"/>
      <c r="I322" s="55"/>
      <c r="J322" s="55"/>
      <c r="K322" s="55"/>
      <c r="L322" s="55"/>
      <c r="M322" s="82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</row>
    <row r="323" spans="1:35" ht="13.5" customHeight="1">
      <c r="A323" s="55"/>
      <c r="B323" s="55"/>
      <c r="C323" s="55"/>
      <c r="D323" s="55"/>
      <c r="E323" s="70"/>
      <c r="F323" s="55"/>
      <c r="G323" s="17"/>
      <c r="H323" s="17"/>
      <c r="I323" s="55"/>
      <c r="J323" s="55"/>
      <c r="K323" s="55"/>
      <c r="L323" s="55"/>
      <c r="M323" s="82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</row>
    <row r="324" spans="1:35" ht="13.5" customHeight="1">
      <c r="A324" s="55"/>
      <c r="B324" s="55"/>
      <c r="C324" s="55"/>
      <c r="D324" s="55"/>
      <c r="E324" s="70"/>
      <c r="F324" s="55"/>
      <c r="G324" s="17"/>
      <c r="H324" s="17"/>
      <c r="I324" s="55"/>
      <c r="J324" s="55"/>
      <c r="K324" s="55"/>
      <c r="L324" s="55"/>
      <c r="M324" s="82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</row>
    <row r="325" spans="1:35" ht="13.5" customHeight="1">
      <c r="A325" s="55"/>
      <c r="B325" s="55"/>
      <c r="C325" s="55"/>
      <c r="D325" s="55"/>
      <c r="E325" s="70"/>
      <c r="F325" s="55"/>
      <c r="G325" s="17"/>
      <c r="H325" s="17"/>
      <c r="I325" s="55"/>
      <c r="J325" s="55"/>
      <c r="K325" s="55"/>
      <c r="L325" s="55"/>
      <c r="M325" s="82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</row>
    <row r="326" spans="1:35" ht="13.5" customHeight="1">
      <c r="A326" s="55"/>
      <c r="B326" s="55"/>
      <c r="C326" s="55"/>
      <c r="D326" s="55"/>
      <c r="E326" s="70"/>
      <c r="F326" s="55"/>
      <c r="G326" s="17"/>
      <c r="H326" s="17"/>
      <c r="I326" s="55"/>
      <c r="J326" s="55"/>
      <c r="K326" s="55"/>
      <c r="L326" s="55"/>
      <c r="M326" s="82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</row>
    <row r="327" spans="1:35" ht="13.5" customHeight="1">
      <c r="A327" s="55"/>
      <c r="B327" s="55"/>
      <c r="C327" s="55"/>
      <c r="D327" s="55"/>
      <c r="E327" s="70"/>
      <c r="F327" s="55"/>
      <c r="G327" s="17"/>
      <c r="H327" s="17"/>
      <c r="I327" s="55"/>
      <c r="J327" s="55"/>
      <c r="K327" s="55"/>
      <c r="L327" s="55"/>
      <c r="M327" s="82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</row>
    <row r="328" spans="1:35" ht="13.5" customHeight="1">
      <c r="A328" s="55"/>
      <c r="B328" s="55"/>
      <c r="C328" s="55"/>
      <c r="D328" s="55"/>
      <c r="E328" s="70"/>
      <c r="F328" s="55"/>
      <c r="G328" s="17"/>
      <c r="H328" s="17"/>
      <c r="I328" s="55"/>
      <c r="J328" s="55"/>
      <c r="K328" s="55"/>
      <c r="L328" s="55"/>
      <c r="M328" s="82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</row>
    <row r="329" spans="1:35" ht="13.5" customHeight="1">
      <c r="A329" s="55"/>
      <c r="B329" s="55"/>
      <c r="C329" s="55"/>
      <c r="D329" s="55"/>
      <c r="E329" s="70"/>
      <c r="F329" s="55"/>
      <c r="G329" s="17"/>
      <c r="H329" s="17"/>
      <c r="I329" s="55"/>
      <c r="J329" s="55"/>
      <c r="K329" s="55"/>
      <c r="L329" s="55"/>
      <c r="M329" s="82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</row>
    <row r="330" spans="1:35" ht="13.5" customHeight="1">
      <c r="A330" s="55"/>
      <c r="B330" s="55"/>
      <c r="C330" s="55"/>
      <c r="D330" s="55"/>
      <c r="E330" s="70"/>
      <c r="F330" s="55"/>
      <c r="G330" s="17"/>
      <c r="H330" s="17"/>
      <c r="I330" s="55"/>
      <c r="J330" s="55"/>
      <c r="K330" s="55"/>
      <c r="L330" s="55"/>
      <c r="M330" s="82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</row>
    <row r="331" spans="1:35" ht="13.5" customHeight="1">
      <c r="A331" s="55"/>
      <c r="B331" s="55"/>
      <c r="C331" s="55"/>
      <c r="D331" s="55"/>
      <c r="E331" s="70"/>
      <c r="F331" s="55"/>
      <c r="G331" s="17"/>
      <c r="H331" s="17"/>
      <c r="I331" s="55"/>
      <c r="J331" s="55"/>
      <c r="K331" s="55"/>
      <c r="L331" s="55"/>
      <c r="M331" s="82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</row>
    <row r="332" spans="1:35" ht="13.5" customHeight="1">
      <c r="A332" s="55"/>
      <c r="B332" s="55"/>
      <c r="C332" s="55"/>
      <c r="D332" s="55"/>
      <c r="E332" s="70"/>
      <c r="F332" s="55"/>
      <c r="G332" s="17"/>
      <c r="H332" s="17"/>
      <c r="I332" s="55"/>
      <c r="J332" s="55"/>
      <c r="K332" s="55"/>
      <c r="L332" s="55"/>
      <c r="M332" s="82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</row>
    <row r="333" spans="1:35" ht="13.5" customHeight="1">
      <c r="A333" s="55"/>
      <c r="B333" s="55"/>
      <c r="C333" s="55"/>
      <c r="D333" s="55"/>
      <c r="E333" s="70"/>
      <c r="F333" s="55"/>
      <c r="G333" s="17"/>
      <c r="H333" s="17"/>
      <c r="I333" s="55"/>
      <c r="J333" s="55"/>
      <c r="K333" s="55"/>
      <c r="L333" s="55"/>
      <c r="M333" s="82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</row>
    <row r="334" spans="1:35" ht="13.5" customHeight="1">
      <c r="A334" s="55"/>
      <c r="B334" s="55"/>
      <c r="C334" s="55"/>
      <c r="D334" s="55"/>
      <c r="E334" s="70"/>
      <c r="F334" s="55"/>
      <c r="G334" s="17"/>
      <c r="H334" s="17"/>
      <c r="I334" s="55"/>
      <c r="J334" s="55"/>
      <c r="K334" s="55"/>
      <c r="L334" s="55"/>
      <c r="M334" s="82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</row>
    <row r="335" spans="1:35" ht="13.5" customHeight="1">
      <c r="A335" s="55"/>
      <c r="B335" s="55"/>
      <c r="C335" s="55"/>
      <c r="D335" s="55"/>
      <c r="E335" s="70"/>
      <c r="F335" s="55"/>
      <c r="G335" s="17"/>
      <c r="H335" s="17"/>
      <c r="I335" s="55"/>
      <c r="J335" s="55"/>
      <c r="K335" s="55"/>
      <c r="L335" s="55"/>
      <c r="M335" s="82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</row>
    <row r="336" spans="1:35" ht="13.5" customHeight="1">
      <c r="A336" s="55"/>
      <c r="B336" s="55"/>
      <c r="C336" s="55"/>
      <c r="D336" s="55"/>
      <c r="E336" s="70"/>
      <c r="F336" s="55"/>
      <c r="G336" s="17"/>
      <c r="H336" s="17"/>
      <c r="I336" s="55"/>
      <c r="J336" s="55"/>
      <c r="K336" s="55"/>
      <c r="L336" s="55"/>
      <c r="M336" s="82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</row>
    <row r="337" spans="1:35" ht="13.5" customHeight="1">
      <c r="A337" s="55"/>
      <c r="B337" s="55"/>
      <c r="C337" s="55"/>
      <c r="D337" s="55"/>
      <c r="E337" s="70"/>
      <c r="F337" s="55"/>
      <c r="G337" s="17"/>
      <c r="H337" s="17"/>
      <c r="I337" s="55"/>
      <c r="J337" s="55"/>
      <c r="K337" s="55"/>
      <c r="L337" s="55"/>
      <c r="M337" s="82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</row>
    <row r="338" spans="1:35" ht="13.5" customHeight="1">
      <c r="A338" s="55"/>
      <c r="B338" s="55"/>
      <c r="C338" s="55"/>
      <c r="D338" s="55"/>
      <c r="E338" s="70"/>
      <c r="F338" s="55"/>
      <c r="G338" s="17"/>
      <c r="H338" s="17"/>
      <c r="I338" s="55"/>
      <c r="J338" s="55"/>
      <c r="K338" s="55"/>
      <c r="L338" s="55"/>
      <c r="M338" s="82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</row>
    <row r="339" spans="1:35" ht="13.5" customHeight="1">
      <c r="A339" s="55"/>
      <c r="B339" s="55"/>
      <c r="C339" s="55"/>
      <c r="D339" s="55"/>
      <c r="E339" s="70"/>
      <c r="F339" s="55"/>
      <c r="G339" s="17"/>
      <c r="H339" s="17"/>
      <c r="I339" s="55"/>
      <c r="J339" s="55"/>
      <c r="K339" s="55"/>
      <c r="L339" s="55"/>
      <c r="M339" s="82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</row>
    <row r="340" spans="1:35" ht="13.5" customHeight="1">
      <c r="A340" s="55"/>
      <c r="B340" s="55"/>
      <c r="C340" s="55"/>
      <c r="D340" s="55"/>
      <c r="E340" s="70"/>
      <c r="F340" s="55"/>
      <c r="G340" s="17"/>
      <c r="H340" s="17"/>
      <c r="I340" s="55"/>
      <c r="J340" s="55"/>
      <c r="K340" s="55"/>
      <c r="L340" s="55"/>
      <c r="M340" s="82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</row>
    <row r="341" spans="1:35" ht="13.5" customHeight="1">
      <c r="A341" s="55"/>
      <c r="B341" s="55"/>
      <c r="C341" s="55"/>
      <c r="D341" s="55"/>
      <c r="E341" s="70"/>
      <c r="F341" s="55"/>
      <c r="G341" s="17"/>
      <c r="H341" s="17"/>
      <c r="I341" s="55"/>
      <c r="J341" s="55"/>
      <c r="K341" s="55"/>
      <c r="L341" s="55"/>
      <c r="M341" s="82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</row>
    <row r="342" spans="1:35" ht="13.5" customHeight="1">
      <c r="A342" s="55"/>
      <c r="B342" s="55"/>
      <c r="C342" s="55"/>
      <c r="D342" s="55"/>
      <c r="E342" s="70"/>
      <c r="F342" s="55"/>
      <c r="G342" s="17"/>
      <c r="H342" s="17"/>
      <c r="I342" s="55"/>
      <c r="J342" s="55"/>
      <c r="K342" s="55"/>
      <c r="L342" s="55"/>
      <c r="M342" s="82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</row>
    <row r="343" spans="1:35" ht="13.5" customHeight="1">
      <c r="A343" s="55"/>
      <c r="B343" s="55"/>
      <c r="C343" s="55"/>
      <c r="D343" s="55"/>
      <c r="E343" s="70"/>
      <c r="F343" s="55"/>
      <c r="G343" s="17"/>
      <c r="H343" s="17"/>
      <c r="I343" s="55"/>
      <c r="J343" s="55"/>
      <c r="K343" s="55"/>
      <c r="L343" s="55"/>
      <c r="M343" s="82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</row>
    <row r="344" spans="1:35" ht="13.5" customHeight="1">
      <c r="A344" s="55"/>
      <c r="B344" s="55"/>
      <c r="C344" s="55"/>
      <c r="D344" s="55"/>
      <c r="E344" s="70"/>
      <c r="F344" s="55"/>
      <c r="G344" s="17"/>
      <c r="H344" s="17"/>
      <c r="I344" s="55"/>
      <c r="J344" s="55"/>
      <c r="K344" s="55"/>
      <c r="L344" s="55"/>
      <c r="M344" s="82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</row>
    <row r="345" spans="1:35" ht="13.5" customHeight="1">
      <c r="A345" s="55"/>
      <c r="B345" s="55"/>
      <c r="C345" s="55"/>
      <c r="D345" s="55"/>
      <c r="E345" s="70"/>
      <c r="F345" s="55"/>
      <c r="G345" s="17"/>
      <c r="H345" s="17"/>
      <c r="I345" s="55"/>
      <c r="J345" s="55"/>
      <c r="K345" s="55"/>
      <c r="L345" s="55"/>
      <c r="M345" s="82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</row>
    <row r="346" spans="1:35" ht="13.5" customHeight="1">
      <c r="A346" s="55"/>
      <c r="B346" s="55"/>
      <c r="C346" s="55"/>
      <c r="D346" s="55"/>
      <c r="E346" s="70"/>
      <c r="F346" s="55"/>
      <c r="G346" s="17"/>
      <c r="H346" s="17"/>
      <c r="I346" s="55"/>
      <c r="J346" s="55"/>
      <c r="K346" s="55"/>
      <c r="L346" s="55"/>
      <c r="M346" s="82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</row>
    <row r="347" spans="1:35" ht="13.5" customHeight="1">
      <c r="A347" s="55"/>
      <c r="B347" s="55"/>
      <c r="C347" s="55"/>
      <c r="D347" s="55"/>
      <c r="E347" s="70"/>
      <c r="F347" s="55"/>
      <c r="G347" s="17"/>
      <c r="H347" s="17"/>
      <c r="I347" s="55"/>
      <c r="J347" s="55"/>
      <c r="K347" s="55"/>
      <c r="L347" s="55"/>
      <c r="M347" s="82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</row>
    <row r="348" spans="1:35" ht="13.5" customHeight="1">
      <c r="A348" s="55"/>
      <c r="B348" s="55"/>
      <c r="C348" s="55"/>
      <c r="D348" s="55"/>
      <c r="E348" s="70"/>
      <c r="F348" s="55"/>
      <c r="G348" s="17"/>
      <c r="H348" s="17"/>
      <c r="I348" s="55"/>
      <c r="J348" s="55"/>
      <c r="K348" s="55"/>
      <c r="L348" s="55"/>
      <c r="M348" s="82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</row>
    <row r="349" spans="1:35" ht="13.5" customHeight="1">
      <c r="A349" s="55"/>
      <c r="B349" s="55"/>
      <c r="C349" s="55"/>
      <c r="D349" s="55"/>
      <c r="E349" s="70"/>
      <c r="F349" s="55"/>
      <c r="G349" s="17"/>
      <c r="H349" s="17"/>
      <c r="I349" s="55"/>
      <c r="J349" s="55"/>
      <c r="K349" s="55"/>
      <c r="L349" s="55"/>
      <c r="M349" s="82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</row>
    <row r="350" spans="1:35" ht="13.5" customHeight="1">
      <c r="A350" s="55"/>
      <c r="B350" s="55"/>
      <c r="C350" s="55"/>
      <c r="D350" s="55"/>
      <c r="E350" s="70"/>
      <c r="F350" s="55"/>
      <c r="G350" s="17"/>
      <c r="H350" s="17"/>
      <c r="I350" s="55"/>
      <c r="J350" s="55"/>
      <c r="K350" s="55"/>
      <c r="L350" s="55"/>
      <c r="M350" s="82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</row>
    <row r="351" spans="1:35" ht="13.5" customHeight="1">
      <c r="A351" s="55"/>
      <c r="B351" s="55"/>
      <c r="C351" s="55"/>
      <c r="D351" s="55"/>
      <c r="E351" s="70"/>
      <c r="F351" s="55"/>
      <c r="G351" s="17"/>
      <c r="H351" s="17"/>
      <c r="I351" s="55"/>
      <c r="J351" s="55"/>
      <c r="K351" s="55"/>
      <c r="L351" s="55"/>
      <c r="M351" s="82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</row>
    <row r="352" spans="1:35" ht="13.5" customHeight="1">
      <c r="A352" s="55"/>
      <c r="B352" s="55"/>
      <c r="C352" s="55"/>
      <c r="D352" s="55"/>
      <c r="E352" s="70"/>
      <c r="F352" s="55"/>
      <c r="G352" s="17"/>
      <c r="H352" s="17"/>
      <c r="I352" s="55"/>
      <c r="J352" s="55"/>
      <c r="K352" s="55"/>
      <c r="L352" s="55"/>
      <c r="M352" s="82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</row>
    <row r="353" spans="1:35" ht="13.5" customHeight="1">
      <c r="A353" s="55"/>
      <c r="B353" s="55"/>
      <c r="C353" s="55"/>
      <c r="D353" s="55"/>
      <c r="E353" s="70"/>
      <c r="F353" s="55"/>
      <c r="G353" s="17"/>
      <c r="H353" s="17"/>
      <c r="I353" s="55"/>
      <c r="J353" s="55"/>
      <c r="K353" s="55"/>
      <c r="L353" s="55"/>
      <c r="M353" s="82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</row>
    <row r="354" spans="1:35" ht="13.5" customHeight="1">
      <c r="A354" s="55"/>
      <c r="B354" s="55"/>
      <c r="C354" s="55"/>
      <c r="D354" s="55"/>
      <c r="E354" s="70"/>
      <c r="F354" s="55"/>
      <c r="G354" s="17"/>
      <c r="H354" s="17"/>
      <c r="I354" s="55"/>
      <c r="J354" s="55"/>
      <c r="K354" s="55"/>
      <c r="L354" s="55"/>
      <c r="M354" s="82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</row>
    <row r="355" spans="1:35" ht="13.5" customHeight="1">
      <c r="A355" s="55"/>
      <c r="B355" s="55"/>
      <c r="C355" s="55"/>
      <c r="D355" s="55"/>
      <c r="E355" s="70"/>
      <c r="F355" s="55"/>
      <c r="G355" s="17"/>
      <c r="H355" s="17"/>
      <c r="I355" s="55"/>
      <c r="J355" s="55"/>
      <c r="K355" s="55"/>
      <c r="L355" s="55"/>
      <c r="M355" s="82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</row>
    <row r="356" spans="1:35" ht="13.5" customHeight="1">
      <c r="A356" s="55"/>
      <c r="B356" s="55"/>
      <c r="C356" s="55"/>
      <c r="D356" s="55"/>
      <c r="E356" s="70"/>
      <c r="F356" s="55"/>
      <c r="G356" s="17"/>
      <c r="H356" s="17"/>
      <c r="I356" s="55"/>
      <c r="J356" s="55"/>
      <c r="K356" s="55"/>
      <c r="L356" s="55"/>
      <c r="M356" s="82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</row>
    <row r="357" spans="1:35" ht="13.5" customHeight="1">
      <c r="A357" s="55"/>
      <c r="B357" s="55"/>
      <c r="C357" s="55"/>
      <c r="D357" s="55"/>
      <c r="E357" s="70"/>
      <c r="F357" s="55"/>
      <c r="G357" s="17"/>
      <c r="H357" s="17"/>
      <c r="I357" s="55"/>
      <c r="J357" s="55"/>
      <c r="K357" s="55"/>
      <c r="L357" s="55"/>
      <c r="M357" s="82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</row>
    <row r="358" spans="1:35" ht="13.5" customHeight="1">
      <c r="A358" s="55"/>
      <c r="B358" s="55"/>
      <c r="C358" s="55"/>
      <c r="D358" s="55"/>
      <c r="E358" s="70"/>
      <c r="F358" s="55"/>
      <c r="G358" s="17"/>
      <c r="H358" s="17"/>
      <c r="I358" s="55"/>
      <c r="J358" s="55"/>
      <c r="K358" s="55"/>
      <c r="L358" s="55"/>
      <c r="M358" s="82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</row>
    <row r="359" spans="1:35" ht="13.5" customHeight="1">
      <c r="A359" s="55"/>
      <c r="B359" s="55"/>
      <c r="C359" s="55"/>
      <c r="D359" s="55"/>
      <c r="E359" s="70"/>
      <c r="F359" s="55"/>
      <c r="G359" s="17"/>
      <c r="H359" s="17"/>
      <c r="I359" s="55"/>
      <c r="J359" s="55"/>
      <c r="K359" s="55"/>
      <c r="L359" s="55"/>
      <c r="M359" s="82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</row>
    <row r="360" spans="1:35" ht="13.5" customHeight="1">
      <c r="A360" s="55"/>
      <c r="B360" s="55"/>
      <c r="C360" s="55"/>
      <c r="D360" s="55"/>
      <c r="E360" s="70"/>
      <c r="F360" s="55"/>
      <c r="G360" s="17"/>
      <c r="H360" s="17"/>
      <c r="I360" s="55"/>
      <c r="J360" s="55"/>
      <c r="K360" s="55"/>
      <c r="L360" s="55"/>
      <c r="M360" s="82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</row>
    <row r="361" spans="1:35" ht="13.5" customHeight="1">
      <c r="A361" s="55"/>
      <c r="B361" s="55"/>
      <c r="C361" s="55"/>
      <c r="D361" s="55"/>
      <c r="E361" s="70"/>
      <c r="F361" s="55"/>
      <c r="G361" s="17"/>
      <c r="H361" s="17"/>
      <c r="I361" s="55"/>
      <c r="J361" s="55"/>
      <c r="K361" s="55"/>
      <c r="L361" s="55"/>
      <c r="M361" s="82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</row>
    <row r="362" spans="1:35" ht="13.5" customHeight="1">
      <c r="A362" s="55"/>
      <c r="B362" s="55"/>
      <c r="C362" s="55"/>
      <c r="D362" s="55"/>
      <c r="E362" s="70"/>
      <c r="F362" s="55"/>
      <c r="G362" s="17"/>
      <c r="H362" s="17"/>
      <c r="I362" s="55"/>
      <c r="J362" s="55"/>
      <c r="K362" s="55"/>
      <c r="L362" s="55"/>
      <c r="M362" s="82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</row>
    <row r="363" spans="1:35" ht="13.5" customHeight="1">
      <c r="A363" s="55"/>
      <c r="B363" s="55"/>
      <c r="C363" s="55"/>
      <c r="D363" s="55"/>
      <c r="E363" s="70"/>
      <c r="F363" s="55"/>
      <c r="G363" s="17"/>
      <c r="H363" s="17"/>
      <c r="I363" s="55"/>
      <c r="J363" s="55"/>
      <c r="K363" s="55"/>
      <c r="L363" s="55"/>
      <c r="M363" s="82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</row>
    <row r="364" spans="1:35" ht="13.5" customHeight="1">
      <c r="A364" s="55"/>
      <c r="B364" s="55"/>
      <c r="C364" s="55"/>
      <c r="D364" s="55"/>
      <c r="E364" s="70"/>
      <c r="F364" s="55"/>
      <c r="G364" s="17"/>
      <c r="H364" s="17"/>
      <c r="I364" s="55"/>
      <c r="J364" s="55"/>
      <c r="K364" s="55"/>
      <c r="L364" s="55"/>
      <c r="M364" s="82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</row>
    <row r="365" spans="1:35" ht="13.5" customHeight="1">
      <c r="A365" s="55"/>
      <c r="B365" s="55"/>
      <c r="C365" s="55"/>
      <c r="D365" s="55"/>
      <c r="E365" s="70"/>
      <c r="F365" s="55"/>
      <c r="G365" s="17"/>
      <c r="H365" s="17"/>
      <c r="I365" s="55"/>
      <c r="J365" s="55"/>
      <c r="K365" s="55"/>
      <c r="L365" s="55"/>
      <c r="M365" s="82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</row>
    <row r="366" spans="1:35" ht="13.5" customHeight="1">
      <c r="A366" s="55"/>
      <c r="B366" s="55"/>
      <c r="C366" s="55"/>
      <c r="D366" s="55"/>
      <c r="E366" s="70"/>
      <c r="F366" s="55"/>
      <c r="G366" s="17"/>
      <c r="H366" s="17"/>
      <c r="I366" s="55"/>
      <c r="J366" s="55"/>
      <c r="K366" s="55"/>
      <c r="L366" s="55"/>
      <c r="M366" s="82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</row>
    <row r="367" spans="1:35" ht="13.5" customHeight="1">
      <c r="A367" s="55"/>
      <c r="B367" s="55"/>
      <c r="C367" s="55"/>
      <c r="D367" s="55"/>
      <c r="E367" s="70"/>
      <c r="F367" s="55"/>
      <c r="G367" s="17"/>
      <c r="H367" s="17"/>
      <c r="I367" s="55"/>
      <c r="J367" s="55"/>
      <c r="K367" s="55"/>
      <c r="L367" s="55"/>
      <c r="M367" s="82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</row>
    <row r="368" spans="1:35" ht="13.5" customHeight="1">
      <c r="A368" s="55"/>
      <c r="B368" s="55"/>
      <c r="C368" s="55"/>
      <c r="D368" s="55"/>
      <c r="E368" s="70"/>
      <c r="F368" s="55"/>
      <c r="G368" s="17"/>
      <c r="H368" s="17"/>
      <c r="I368" s="55"/>
      <c r="J368" s="55"/>
      <c r="K368" s="55"/>
      <c r="L368" s="55"/>
      <c r="M368" s="82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</row>
    <row r="369" spans="1:35" ht="13.5" customHeight="1">
      <c r="A369" s="55"/>
      <c r="B369" s="55"/>
      <c r="C369" s="55"/>
      <c r="D369" s="55"/>
      <c r="E369" s="70"/>
      <c r="F369" s="55"/>
      <c r="G369" s="17"/>
      <c r="H369" s="17"/>
      <c r="I369" s="55"/>
      <c r="J369" s="55"/>
      <c r="K369" s="55"/>
      <c r="L369" s="55"/>
      <c r="M369" s="82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</row>
    <row r="370" spans="1:35" ht="13.5" customHeight="1">
      <c r="A370" s="55"/>
      <c r="B370" s="55"/>
      <c r="C370" s="55"/>
      <c r="D370" s="55"/>
      <c r="E370" s="70"/>
      <c r="F370" s="55"/>
      <c r="G370" s="17"/>
      <c r="H370" s="17"/>
      <c r="I370" s="55"/>
      <c r="J370" s="55"/>
      <c r="K370" s="55"/>
      <c r="L370" s="55"/>
      <c r="M370" s="82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</row>
    <row r="371" spans="1:35" ht="13.5" customHeight="1">
      <c r="A371" s="55"/>
      <c r="B371" s="55"/>
      <c r="C371" s="55"/>
      <c r="D371" s="55"/>
      <c r="E371" s="70"/>
      <c r="F371" s="55"/>
      <c r="G371" s="17"/>
      <c r="H371" s="17"/>
      <c r="I371" s="55"/>
      <c r="J371" s="55"/>
      <c r="K371" s="55"/>
      <c r="L371" s="55"/>
      <c r="M371" s="82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</row>
    <row r="372" spans="1:35" ht="13.5" customHeight="1">
      <c r="A372" s="55"/>
      <c r="B372" s="55"/>
      <c r="C372" s="55"/>
      <c r="D372" s="55"/>
      <c r="E372" s="70"/>
      <c r="F372" s="55"/>
      <c r="G372" s="17"/>
      <c r="H372" s="17"/>
      <c r="I372" s="55"/>
      <c r="J372" s="55"/>
      <c r="K372" s="55"/>
      <c r="L372" s="55"/>
      <c r="M372" s="82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</row>
    <row r="373" spans="1:35" ht="13.5" customHeight="1">
      <c r="A373" s="55"/>
      <c r="B373" s="55"/>
      <c r="C373" s="55"/>
      <c r="D373" s="55"/>
      <c r="E373" s="70"/>
      <c r="F373" s="55"/>
      <c r="G373" s="17"/>
      <c r="H373" s="17"/>
      <c r="I373" s="55"/>
      <c r="J373" s="55"/>
      <c r="K373" s="55"/>
      <c r="L373" s="55"/>
      <c r="M373" s="82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</row>
    <row r="374" spans="1:35" ht="13.5" customHeight="1">
      <c r="A374" s="55"/>
      <c r="B374" s="55"/>
      <c r="C374" s="55"/>
      <c r="D374" s="55"/>
      <c r="E374" s="70"/>
      <c r="F374" s="55"/>
      <c r="G374" s="17"/>
      <c r="H374" s="17"/>
      <c r="I374" s="55"/>
      <c r="J374" s="55"/>
      <c r="K374" s="55"/>
      <c r="L374" s="55"/>
      <c r="M374" s="82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</row>
    <row r="375" spans="1:35" ht="13.5" customHeight="1">
      <c r="A375" s="55"/>
      <c r="B375" s="55"/>
      <c r="C375" s="55"/>
      <c r="D375" s="55"/>
      <c r="E375" s="70"/>
      <c r="F375" s="55"/>
      <c r="G375" s="17"/>
      <c r="H375" s="17"/>
      <c r="I375" s="55"/>
      <c r="J375" s="55"/>
      <c r="K375" s="55"/>
      <c r="L375" s="55"/>
      <c r="M375" s="82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</row>
    <row r="376" spans="1:35" ht="13.5" customHeight="1">
      <c r="A376" s="55"/>
      <c r="B376" s="55"/>
      <c r="C376" s="55"/>
      <c r="D376" s="55"/>
      <c r="E376" s="70"/>
      <c r="F376" s="55"/>
      <c r="G376" s="17"/>
      <c r="H376" s="17"/>
      <c r="I376" s="55"/>
      <c r="J376" s="55"/>
      <c r="K376" s="55"/>
      <c r="L376" s="55"/>
      <c r="M376" s="82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</row>
    <row r="377" spans="1:35" ht="13.5" customHeight="1">
      <c r="A377" s="55"/>
      <c r="B377" s="55"/>
      <c r="C377" s="55"/>
      <c r="D377" s="55"/>
      <c r="E377" s="70"/>
      <c r="F377" s="55"/>
      <c r="G377" s="17"/>
      <c r="H377" s="17"/>
      <c r="I377" s="55"/>
      <c r="J377" s="55"/>
      <c r="K377" s="55"/>
      <c r="L377" s="55"/>
      <c r="M377" s="82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</row>
    <row r="378" spans="1:35" ht="13.5" customHeight="1">
      <c r="A378" s="55"/>
      <c r="B378" s="55"/>
      <c r="C378" s="55"/>
      <c r="D378" s="55"/>
      <c r="E378" s="70"/>
      <c r="F378" s="55"/>
      <c r="G378" s="17"/>
      <c r="H378" s="17"/>
      <c r="I378" s="55"/>
      <c r="J378" s="55"/>
      <c r="K378" s="55"/>
      <c r="L378" s="55"/>
      <c r="M378" s="82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</row>
    <row r="379" spans="1:35" ht="13.5" customHeight="1">
      <c r="A379" s="55"/>
      <c r="B379" s="55"/>
      <c r="C379" s="55"/>
      <c r="D379" s="55"/>
      <c r="E379" s="70"/>
      <c r="F379" s="55"/>
      <c r="G379" s="17"/>
      <c r="H379" s="17"/>
      <c r="I379" s="55"/>
      <c r="J379" s="55"/>
      <c r="K379" s="55"/>
      <c r="L379" s="55"/>
      <c r="M379" s="82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</row>
    <row r="380" spans="1:35" ht="13.5" customHeight="1">
      <c r="A380" s="55"/>
      <c r="B380" s="55"/>
      <c r="C380" s="55"/>
      <c r="D380" s="55"/>
      <c r="E380" s="70"/>
      <c r="F380" s="55"/>
      <c r="G380" s="17"/>
      <c r="H380" s="17"/>
      <c r="I380" s="55"/>
      <c r="J380" s="55"/>
      <c r="K380" s="55"/>
      <c r="L380" s="55"/>
      <c r="M380" s="82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</row>
    <row r="381" spans="1:35" ht="13.5" customHeight="1">
      <c r="A381" s="55"/>
      <c r="B381" s="55"/>
      <c r="C381" s="55"/>
      <c r="D381" s="55"/>
      <c r="E381" s="70"/>
      <c r="F381" s="55"/>
      <c r="G381" s="17"/>
      <c r="H381" s="17"/>
      <c r="I381" s="55"/>
      <c r="J381" s="55"/>
      <c r="K381" s="55"/>
      <c r="L381" s="55"/>
      <c r="M381" s="82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</row>
    <row r="382" spans="1:35" ht="13.5" customHeight="1">
      <c r="A382" s="55"/>
      <c r="B382" s="55"/>
      <c r="C382" s="55"/>
      <c r="D382" s="55"/>
      <c r="E382" s="70"/>
      <c r="F382" s="55"/>
      <c r="G382" s="17"/>
      <c r="H382" s="17"/>
      <c r="I382" s="55"/>
      <c r="J382" s="55"/>
      <c r="K382" s="55"/>
      <c r="L382" s="55"/>
      <c r="M382" s="82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</row>
    <row r="383" spans="1:35" ht="13.5" customHeight="1">
      <c r="A383" s="55"/>
      <c r="B383" s="55"/>
      <c r="C383" s="55"/>
      <c r="D383" s="55"/>
      <c r="E383" s="70"/>
      <c r="F383" s="55"/>
      <c r="G383" s="17"/>
      <c r="H383" s="17"/>
      <c r="I383" s="55"/>
      <c r="J383" s="55"/>
      <c r="K383" s="55"/>
      <c r="L383" s="55"/>
      <c r="M383" s="82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</row>
    <row r="384" spans="1:35" ht="13.5" customHeight="1">
      <c r="A384" s="55"/>
      <c r="B384" s="55"/>
      <c r="C384" s="55"/>
      <c r="D384" s="55"/>
      <c r="E384" s="70"/>
      <c r="F384" s="55"/>
      <c r="G384" s="17"/>
      <c r="H384" s="17"/>
      <c r="I384" s="55"/>
      <c r="J384" s="55"/>
      <c r="K384" s="55"/>
      <c r="L384" s="55"/>
      <c r="M384" s="82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</row>
    <row r="385" spans="1:35" ht="13.5" customHeight="1">
      <c r="A385" s="55"/>
      <c r="B385" s="55"/>
      <c r="C385" s="55"/>
      <c r="D385" s="55"/>
      <c r="E385" s="70"/>
      <c r="F385" s="55"/>
      <c r="G385" s="17"/>
      <c r="H385" s="17"/>
      <c r="I385" s="55"/>
      <c r="J385" s="55"/>
      <c r="K385" s="55"/>
      <c r="L385" s="55"/>
      <c r="M385" s="82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</row>
    <row r="386" spans="1:35" ht="13.5" customHeight="1">
      <c r="A386" s="55"/>
      <c r="B386" s="55"/>
      <c r="C386" s="55"/>
      <c r="D386" s="55"/>
      <c r="E386" s="70"/>
      <c r="F386" s="55"/>
      <c r="G386" s="17"/>
      <c r="H386" s="17"/>
      <c r="I386" s="55"/>
      <c r="J386" s="55"/>
      <c r="K386" s="55"/>
      <c r="L386" s="55"/>
      <c r="M386" s="82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</row>
    <row r="387" spans="1:35" ht="13.5" customHeight="1">
      <c r="A387" s="55"/>
      <c r="B387" s="55"/>
      <c r="C387" s="55"/>
      <c r="D387" s="55"/>
      <c r="E387" s="70"/>
      <c r="F387" s="55"/>
      <c r="G387" s="17"/>
      <c r="H387" s="17"/>
      <c r="I387" s="55"/>
      <c r="J387" s="55"/>
      <c r="K387" s="55"/>
      <c r="L387" s="55"/>
      <c r="M387" s="82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</row>
    <row r="388" spans="1:35" ht="13.5" customHeight="1">
      <c r="A388" s="55"/>
      <c r="B388" s="55"/>
      <c r="C388" s="55"/>
      <c r="D388" s="55"/>
      <c r="E388" s="70"/>
      <c r="F388" s="55"/>
      <c r="G388" s="17"/>
      <c r="H388" s="17"/>
      <c r="I388" s="55"/>
      <c r="J388" s="55"/>
      <c r="K388" s="55"/>
      <c r="L388" s="55"/>
      <c r="M388" s="82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</row>
    <row r="389" spans="1:35" ht="13.5" customHeight="1">
      <c r="A389" s="55"/>
      <c r="B389" s="55"/>
      <c r="C389" s="55"/>
      <c r="D389" s="55"/>
      <c r="E389" s="70"/>
      <c r="F389" s="55"/>
      <c r="G389" s="17"/>
      <c r="H389" s="17"/>
      <c r="I389" s="55"/>
      <c r="J389" s="55"/>
      <c r="K389" s="55"/>
      <c r="L389" s="55"/>
      <c r="M389" s="82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</row>
    <row r="390" spans="1:35" ht="13.5" customHeight="1">
      <c r="A390" s="55"/>
      <c r="B390" s="55"/>
      <c r="C390" s="55"/>
      <c r="D390" s="55"/>
      <c r="E390" s="70"/>
      <c r="F390" s="55"/>
      <c r="G390" s="17"/>
      <c r="H390" s="17"/>
      <c r="I390" s="55"/>
      <c r="J390" s="55"/>
      <c r="K390" s="55"/>
      <c r="L390" s="55"/>
      <c r="M390" s="82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</row>
    <row r="391" spans="1:35" ht="13.5" customHeight="1">
      <c r="A391" s="55"/>
      <c r="B391" s="55"/>
      <c r="C391" s="55"/>
      <c r="D391" s="55"/>
      <c r="E391" s="70"/>
      <c r="F391" s="55"/>
      <c r="G391" s="17"/>
      <c r="H391" s="17"/>
      <c r="I391" s="55"/>
      <c r="J391" s="55"/>
      <c r="K391" s="55"/>
      <c r="L391" s="55"/>
      <c r="M391" s="82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</row>
    <row r="392" spans="1:35" ht="13.5" customHeight="1">
      <c r="A392" s="55"/>
      <c r="B392" s="55"/>
      <c r="C392" s="55"/>
      <c r="D392" s="55"/>
      <c r="E392" s="70"/>
      <c r="F392" s="55"/>
      <c r="G392" s="17"/>
      <c r="H392" s="17"/>
      <c r="I392" s="55"/>
      <c r="J392" s="55"/>
      <c r="K392" s="55"/>
      <c r="L392" s="55"/>
      <c r="M392" s="82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</row>
    <row r="393" spans="1:35" ht="13.5" customHeight="1">
      <c r="A393" s="55"/>
      <c r="B393" s="55"/>
      <c r="C393" s="55"/>
      <c r="D393" s="55"/>
      <c r="E393" s="70"/>
      <c r="F393" s="55"/>
      <c r="G393" s="17"/>
      <c r="H393" s="17"/>
      <c r="I393" s="55"/>
      <c r="J393" s="55"/>
      <c r="K393" s="55"/>
      <c r="L393" s="55"/>
      <c r="M393" s="82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</row>
    <row r="394" spans="1:35" ht="13.5" customHeight="1">
      <c r="A394" s="55"/>
      <c r="B394" s="55"/>
      <c r="C394" s="55"/>
      <c r="D394" s="55"/>
      <c r="E394" s="70"/>
      <c r="F394" s="55"/>
      <c r="G394" s="17"/>
      <c r="H394" s="17"/>
      <c r="I394" s="55"/>
      <c r="J394" s="55"/>
      <c r="K394" s="55"/>
      <c r="L394" s="55"/>
      <c r="M394" s="82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</row>
    <row r="395" spans="1:35" ht="13.5" customHeight="1">
      <c r="A395" s="55"/>
      <c r="B395" s="55"/>
      <c r="C395" s="55"/>
      <c r="D395" s="55"/>
      <c r="E395" s="70"/>
      <c r="F395" s="55"/>
      <c r="G395" s="17"/>
      <c r="H395" s="17"/>
      <c r="I395" s="55"/>
      <c r="J395" s="55"/>
      <c r="K395" s="55"/>
      <c r="L395" s="55"/>
      <c r="M395" s="82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</row>
    <row r="396" spans="1:35" ht="13.5" customHeight="1">
      <c r="A396" s="55"/>
      <c r="B396" s="55"/>
      <c r="C396" s="55"/>
      <c r="D396" s="55"/>
      <c r="E396" s="70"/>
      <c r="F396" s="55"/>
      <c r="G396" s="17"/>
      <c r="H396" s="17"/>
      <c r="I396" s="55"/>
      <c r="J396" s="55"/>
      <c r="K396" s="55"/>
      <c r="L396" s="55"/>
      <c r="M396" s="82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</row>
    <row r="397" spans="1:35" ht="13.5" customHeight="1">
      <c r="A397" s="55"/>
      <c r="B397" s="55"/>
      <c r="C397" s="55"/>
      <c r="D397" s="55"/>
      <c r="E397" s="70"/>
      <c r="F397" s="55"/>
      <c r="G397" s="17"/>
      <c r="H397" s="17"/>
      <c r="I397" s="55"/>
      <c r="J397" s="55"/>
      <c r="K397" s="55"/>
      <c r="L397" s="55"/>
      <c r="M397" s="82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</row>
    <row r="398" spans="1:35" ht="13.5" customHeight="1">
      <c r="A398" s="55"/>
      <c r="B398" s="55"/>
      <c r="C398" s="55"/>
      <c r="D398" s="55"/>
      <c r="E398" s="70"/>
      <c r="F398" s="55"/>
      <c r="G398" s="17"/>
      <c r="H398" s="17"/>
      <c r="I398" s="55"/>
      <c r="J398" s="55"/>
      <c r="K398" s="55"/>
      <c r="L398" s="55"/>
      <c r="M398" s="82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</row>
    <row r="399" spans="1:35" ht="13.5" customHeight="1">
      <c r="A399" s="55"/>
      <c r="B399" s="55"/>
      <c r="C399" s="55"/>
      <c r="D399" s="55"/>
      <c r="E399" s="70"/>
      <c r="F399" s="55"/>
      <c r="G399" s="17"/>
      <c r="H399" s="17"/>
      <c r="I399" s="55"/>
      <c r="J399" s="55"/>
      <c r="K399" s="55"/>
      <c r="L399" s="55"/>
      <c r="M399" s="82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</row>
    <row r="400" spans="1:35" ht="13.5" customHeight="1">
      <c r="A400" s="55"/>
      <c r="B400" s="55"/>
      <c r="C400" s="55"/>
      <c r="D400" s="55"/>
      <c r="E400" s="70"/>
      <c r="F400" s="55"/>
      <c r="G400" s="17"/>
      <c r="H400" s="17"/>
      <c r="I400" s="55"/>
      <c r="J400" s="55"/>
      <c r="K400" s="55"/>
      <c r="L400" s="55"/>
      <c r="M400" s="82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</row>
    <row r="401" spans="1:35" ht="13.5" customHeight="1">
      <c r="A401" s="55"/>
      <c r="B401" s="55"/>
      <c r="C401" s="55"/>
      <c r="D401" s="55"/>
      <c r="E401" s="70"/>
      <c r="F401" s="55"/>
      <c r="G401" s="17"/>
      <c r="H401" s="17"/>
      <c r="I401" s="55"/>
      <c r="J401" s="55"/>
      <c r="K401" s="55"/>
      <c r="L401" s="55"/>
      <c r="M401" s="82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</row>
    <row r="402" spans="1:35" ht="13.5" customHeight="1">
      <c r="A402" s="55"/>
      <c r="B402" s="55"/>
      <c r="C402" s="55"/>
      <c r="D402" s="55"/>
      <c r="E402" s="70"/>
      <c r="F402" s="55"/>
      <c r="G402" s="17"/>
      <c r="H402" s="17"/>
      <c r="I402" s="55"/>
      <c r="J402" s="55"/>
      <c r="K402" s="55"/>
      <c r="L402" s="55"/>
      <c r="M402" s="82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</row>
    <row r="403" spans="1:35" ht="13.5" customHeight="1">
      <c r="A403" s="55"/>
      <c r="B403" s="55"/>
      <c r="C403" s="55"/>
      <c r="D403" s="55"/>
      <c r="E403" s="70"/>
      <c r="F403" s="55"/>
      <c r="G403" s="17"/>
      <c r="H403" s="17"/>
      <c r="I403" s="55"/>
      <c r="J403" s="55"/>
      <c r="K403" s="55"/>
      <c r="L403" s="55"/>
      <c r="M403" s="82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</row>
    <row r="404" spans="1:35" ht="13.5" customHeight="1">
      <c r="A404" s="55"/>
      <c r="B404" s="55"/>
      <c r="C404" s="55"/>
      <c r="D404" s="55"/>
      <c r="E404" s="70"/>
      <c r="F404" s="55"/>
      <c r="G404" s="17"/>
      <c r="H404" s="17"/>
      <c r="I404" s="55"/>
      <c r="J404" s="55"/>
      <c r="K404" s="55"/>
      <c r="L404" s="55"/>
      <c r="M404" s="82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</row>
    <row r="405" spans="1:35" ht="13.5" customHeight="1">
      <c r="A405" s="55"/>
      <c r="B405" s="55"/>
      <c r="C405" s="55"/>
      <c r="D405" s="55"/>
      <c r="E405" s="70"/>
      <c r="F405" s="55"/>
      <c r="G405" s="17"/>
      <c r="H405" s="17"/>
      <c r="I405" s="55"/>
      <c r="J405" s="55"/>
      <c r="K405" s="55"/>
      <c r="L405" s="55"/>
      <c r="M405" s="82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</row>
    <row r="406" spans="1:35" ht="13.5" customHeight="1">
      <c r="A406" s="55"/>
      <c r="B406" s="55"/>
      <c r="C406" s="55"/>
      <c r="D406" s="55"/>
      <c r="E406" s="70"/>
      <c r="F406" s="55"/>
      <c r="G406" s="17"/>
      <c r="H406" s="17"/>
      <c r="I406" s="55"/>
      <c r="J406" s="55"/>
      <c r="K406" s="55"/>
      <c r="L406" s="55"/>
      <c r="M406" s="82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</row>
    <row r="407" spans="1:35" ht="13.5" customHeight="1">
      <c r="A407" s="55"/>
      <c r="B407" s="55"/>
      <c r="C407" s="55"/>
      <c r="D407" s="55"/>
      <c r="E407" s="70"/>
      <c r="F407" s="55"/>
      <c r="G407" s="17"/>
      <c r="H407" s="17"/>
      <c r="I407" s="55"/>
      <c r="J407" s="55"/>
      <c r="K407" s="55"/>
      <c r="L407" s="55"/>
      <c r="M407" s="82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</row>
    <row r="408" spans="1:35" ht="13.5" customHeight="1">
      <c r="A408" s="55"/>
      <c r="B408" s="55"/>
      <c r="C408" s="55"/>
      <c r="D408" s="55"/>
      <c r="E408" s="70"/>
      <c r="F408" s="55"/>
      <c r="G408" s="17"/>
      <c r="H408" s="17"/>
      <c r="I408" s="55"/>
      <c r="J408" s="55"/>
      <c r="K408" s="55"/>
      <c r="L408" s="55"/>
      <c r="M408" s="82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</row>
    <row r="409" spans="1:35" ht="13.5" customHeight="1">
      <c r="A409" s="55"/>
      <c r="B409" s="55"/>
      <c r="C409" s="55"/>
      <c r="D409" s="55"/>
      <c r="E409" s="70"/>
      <c r="F409" s="55"/>
      <c r="G409" s="17"/>
      <c r="H409" s="17"/>
      <c r="I409" s="55"/>
      <c r="J409" s="55"/>
      <c r="K409" s="55"/>
      <c r="L409" s="55"/>
      <c r="M409" s="82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</row>
    <row r="410" spans="1:35" ht="13.5" customHeight="1">
      <c r="A410" s="55"/>
      <c r="B410" s="55"/>
      <c r="C410" s="55"/>
      <c r="D410" s="55"/>
      <c r="E410" s="70"/>
      <c r="F410" s="55"/>
      <c r="G410" s="17"/>
      <c r="H410" s="17"/>
      <c r="I410" s="55"/>
      <c r="J410" s="55"/>
      <c r="K410" s="55"/>
      <c r="L410" s="55"/>
      <c r="M410" s="82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</row>
    <row r="411" spans="1:35" ht="13.5" customHeight="1">
      <c r="A411" s="55"/>
      <c r="B411" s="55"/>
      <c r="C411" s="55"/>
      <c r="D411" s="55"/>
      <c r="E411" s="70"/>
      <c r="F411" s="55"/>
      <c r="G411" s="17"/>
      <c r="H411" s="17"/>
      <c r="I411" s="55"/>
      <c r="J411" s="55"/>
      <c r="K411" s="55"/>
      <c r="L411" s="55"/>
      <c r="M411" s="82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</row>
    <row r="412" spans="1:35" ht="13.5" customHeight="1">
      <c r="A412" s="55"/>
      <c r="B412" s="55"/>
      <c r="C412" s="55"/>
      <c r="D412" s="55"/>
      <c r="E412" s="70"/>
      <c r="F412" s="55"/>
      <c r="G412" s="17"/>
      <c r="H412" s="17"/>
      <c r="I412" s="55"/>
      <c r="J412" s="55"/>
      <c r="K412" s="55"/>
      <c r="L412" s="55"/>
      <c r="M412" s="82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</row>
    <row r="413" spans="1:35" ht="13.5" customHeight="1">
      <c r="A413" s="55"/>
      <c r="B413" s="55"/>
      <c r="C413" s="55"/>
      <c r="D413" s="55"/>
      <c r="E413" s="70"/>
      <c r="F413" s="55"/>
      <c r="G413" s="17"/>
      <c r="H413" s="17"/>
      <c r="I413" s="55"/>
      <c r="J413" s="55"/>
      <c r="K413" s="55"/>
      <c r="L413" s="55"/>
      <c r="M413" s="82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</row>
    <row r="414" spans="1:35" ht="13.5" customHeight="1">
      <c r="A414" s="55"/>
      <c r="B414" s="55"/>
      <c r="C414" s="55"/>
      <c r="D414" s="55"/>
      <c r="E414" s="70"/>
      <c r="F414" s="55"/>
      <c r="G414" s="17"/>
      <c r="H414" s="17"/>
      <c r="I414" s="55"/>
      <c r="J414" s="55"/>
      <c r="K414" s="55"/>
      <c r="L414" s="55"/>
      <c r="M414" s="82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</row>
    <row r="415" spans="1:35" ht="13.5" customHeight="1">
      <c r="A415" s="55"/>
      <c r="B415" s="55"/>
      <c r="C415" s="55"/>
      <c r="D415" s="55"/>
      <c r="E415" s="70"/>
      <c r="F415" s="55"/>
      <c r="G415" s="17"/>
      <c r="H415" s="17"/>
      <c r="I415" s="55"/>
      <c r="J415" s="55"/>
      <c r="K415" s="55"/>
      <c r="L415" s="55"/>
      <c r="M415" s="82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</row>
    <row r="416" spans="1:35" ht="13.5" customHeight="1">
      <c r="A416" s="55"/>
      <c r="B416" s="55"/>
      <c r="C416" s="55"/>
      <c r="D416" s="55"/>
      <c r="E416" s="70"/>
      <c r="F416" s="55"/>
      <c r="G416" s="17"/>
      <c r="H416" s="17"/>
      <c r="I416" s="55"/>
      <c r="J416" s="55"/>
      <c r="K416" s="55"/>
      <c r="L416" s="55"/>
      <c r="M416" s="82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</row>
    <row r="417" spans="1:35" ht="13.5" customHeight="1">
      <c r="A417" s="55"/>
      <c r="B417" s="55"/>
      <c r="C417" s="55"/>
      <c r="D417" s="55"/>
      <c r="E417" s="70"/>
      <c r="F417" s="55"/>
      <c r="G417" s="17"/>
      <c r="H417" s="17"/>
      <c r="I417" s="55"/>
      <c r="J417" s="55"/>
      <c r="K417" s="55"/>
      <c r="L417" s="55"/>
      <c r="M417" s="82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</row>
    <row r="418" spans="1:35" ht="13.5" customHeight="1">
      <c r="A418" s="55"/>
      <c r="B418" s="55"/>
      <c r="C418" s="55"/>
      <c r="D418" s="55"/>
      <c r="E418" s="70"/>
      <c r="F418" s="55"/>
      <c r="G418" s="17"/>
      <c r="H418" s="17"/>
      <c r="I418" s="55"/>
      <c r="J418" s="55"/>
      <c r="K418" s="55"/>
      <c r="L418" s="55"/>
      <c r="M418" s="82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</row>
    <row r="419" spans="1:35" ht="13.5" customHeight="1">
      <c r="A419" s="55"/>
      <c r="B419" s="55"/>
      <c r="C419" s="55"/>
      <c r="D419" s="55"/>
      <c r="E419" s="70"/>
      <c r="F419" s="55"/>
      <c r="G419" s="17"/>
      <c r="H419" s="17"/>
      <c r="I419" s="55"/>
      <c r="J419" s="55"/>
      <c r="K419" s="55"/>
      <c r="L419" s="55"/>
      <c r="M419" s="82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</row>
    <row r="420" spans="1:35" ht="13.5" customHeight="1">
      <c r="A420" s="55"/>
      <c r="B420" s="55"/>
      <c r="C420" s="55"/>
      <c r="D420" s="55"/>
      <c r="E420" s="70"/>
      <c r="F420" s="55"/>
      <c r="G420" s="17"/>
      <c r="H420" s="17"/>
      <c r="I420" s="55"/>
      <c r="J420" s="55"/>
      <c r="K420" s="55"/>
      <c r="L420" s="55"/>
      <c r="M420" s="82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</row>
    <row r="421" spans="1:35" ht="13.5" customHeight="1">
      <c r="A421" s="55"/>
      <c r="B421" s="55"/>
      <c r="C421" s="55"/>
      <c r="D421" s="55"/>
      <c r="E421" s="70"/>
      <c r="F421" s="55"/>
      <c r="G421" s="17"/>
      <c r="H421" s="17"/>
      <c r="I421" s="55"/>
      <c r="J421" s="55"/>
      <c r="K421" s="55"/>
      <c r="L421" s="55"/>
      <c r="M421" s="82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</row>
    <row r="422" spans="1:35" ht="13.5" customHeight="1">
      <c r="A422" s="55"/>
      <c r="B422" s="55"/>
      <c r="C422" s="55"/>
      <c r="D422" s="55"/>
      <c r="E422" s="70"/>
      <c r="F422" s="55"/>
      <c r="G422" s="17"/>
      <c r="H422" s="17"/>
      <c r="I422" s="55"/>
      <c r="J422" s="55"/>
      <c r="K422" s="55"/>
      <c r="L422" s="55"/>
      <c r="M422" s="82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</row>
    <row r="423" spans="1:35" ht="13.5" customHeight="1">
      <c r="A423" s="55"/>
      <c r="B423" s="55"/>
      <c r="C423" s="55"/>
      <c r="D423" s="55"/>
      <c r="E423" s="70"/>
      <c r="F423" s="55"/>
      <c r="G423" s="17"/>
      <c r="H423" s="17"/>
      <c r="I423" s="55"/>
      <c r="J423" s="55"/>
      <c r="K423" s="55"/>
      <c r="L423" s="55"/>
      <c r="M423" s="82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</row>
    <row r="424" spans="1:35" ht="13.5" customHeight="1">
      <c r="A424" s="55"/>
      <c r="B424" s="55"/>
      <c r="C424" s="55"/>
      <c r="D424" s="55"/>
      <c r="E424" s="70"/>
      <c r="F424" s="55"/>
      <c r="G424" s="17"/>
      <c r="H424" s="17"/>
      <c r="I424" s="55"/>
      <c r="J424" s="55"/>
      <c r="K424" s="55"/>
      <c r="L424" s="55"/>
      <c r="M424" s="82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</row>
    <row r="425" spans="1:35" ht="13.5" customHeight="1">
      <c r="A425" s="55"/>
      <c r="B425" s="55"/>
      <c r="C425" s="55"/>
      <c r="D425" s="55"/>
      <c r="E425" s="70"/>
      <c r="F425" s="55"/>
      <c r="G425" s="17"/>
      <c r="H425" s="17"/>
      <c r="I425" s="55"/>
      <c r="J425" s="55"/>
      <c r="K425" s="55"/>
      <c r="L425" s="55"/>
      <c r="M425" s="82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</row>
    <row r="426" spans="1:35" ht="13.5" customHeight="1">
      <c r="A426" s="55"/>
      <c r="B426" s="55"/>
      <c r="C426" s="55"/>
      <c r="D426" s="55"/>
      <c r="E426" s="70"/>
      <c r="F426" s="55"/>
      <c r="G426" s="17"/>
      <c r="H426" s="17"/>
      <c r="I426" s="55"/>
      <c r="J426" s="55"/>
      <c r="K426" s="55"/>
      <c r="L426" s="55"/>
      <c r="M426" s="82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</row>
    <row r="427" spans="1:35" ht="13.5" customHeight="1">
      <c r="A427" s="55"/>
      <c r="B427" s="55"/>
      <c r="C427" s="55"/>
      <c r="D427" s="55"/>
      <c r="E427" s="70"/>
      <c r="F427" s="55"/>
      <c r="G427" s="17"/>
      <c r="H427" s="17"/>
      <c r="I427" s="55"/>
      <c r="J427" s="55"/>
      <c r="K427" s="55"/>
      <c r="L427" s="55"/>
      <c r="M427" s="82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</row>
    <row r="428" spans="1:35" ht="13.5" customHeight="1">
      <c r="A428" s="55"/>
      <c r="B428" s="55"/>
      <c r="C428" s="55"/>
      <c r="D428" s="55"/>
      <c r="E428" s="70"/>
      <c r="F428" s="55"/>
      <c r="G428" s="17"/>
      <c r="H428" s="17"/>
      <c r="I428" s="55"/>
      <c r="J428" s="55"/>
      <c r="K428" s="55"/>
      <c r="L428" s="55"/>
      <c r="M428" s="82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</row>
    <row r="429" spans="1:35" ht="13.5" customHeight="1">
      <c r="A429" s="55"/>
      <c r="B429" s="55"/>
      <c r="C429" s="55"/>
      <c r="D429" s="55"/>
      <c r="E429" s="70"/>
      <c r="F429" s="55"/>
      <c r="G429" s="17"/>
      <c r="H429" s="17"/>
      <c r="I429" s="55"/>
      <c r="J429" s="55"/>
      <c r="K429" s="55"/>
      <c r="L429" s="55"/>
      <c r="M429" s="82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</row>
    <row r="430" spans="1:35" ht="13.5" customHeight="1">
      <c r="A430" s="55"/>
      <c r="B430" s="55"/>
      <c r="C430" s="55"/>
      <c r="D430" s="55"/>
      <c r="E430" s="70"/>
      <c r="F430" s="55"/>
      <c r="G430" s="17"/>
      <c r="H430" s="17"/>
      <c r="I430" s="55"/>
      <c r="J430" s="55"/>
      <c r="K430" s="55"/>
      <c r="L430" s="55"/>
      <c r="M430" s="82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</row>
    <row r="431" spans="1:35" ht="13.5" customHeight="1">
      <c r="A431" s="55"/>
      <c r="B431" s="55"/>
      <c r="C431" s="55"/>
      <c r="D431" s="55"/>
      <c r="E431" s="70"/>
      <c r="F431" s="55"/>
      <c r="G431" s="17"/>
      <c r="H431" s="17"/>
      <c r="I431" s="55"/>
      <c r="J431" s="55"/>
      <c r="K431" s="55"/>
      <c r="L431" s="55"/>
      <c r="M431" s="82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</row>
    <row r="432" spans="1:35" ht="13.5" customHeight="1">
      <c r="A432" s="55"/>
      <c r="B432" s="55"/>
      <c r="C432" s="55"/>
      <c r="D432" s="55"/>
      <c r="E432" s="70"/>
      <c r="F432" s="55"/>
      <c r="G432" s="17"/>
      <c r="H432" s="17"/>
      <c r="I432" s="55"/>
      <c r="J432" s="55"/>
      <c r="K432" s="55"/>
      <c r="L432" s="55"/>
      <c r="M432" s="82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</row>
    <row r="433" spans="1:35" ht="13.5" customHeight="1">
      <c r="A433" s="55"/>
      <c r="B433" s="55"/>
      <c r="C433" s="55"/>
      <c r="D433" s="55"/>
      <c r="E433" s="70"/>
      <c r="F433" s="55"/>
      <c r="G433" s="17"/>
      <c r="H433" s="17"/>
      <c r="I433" s="55"/>
      <c r="J433" s="55"/>
      <c r="K433" s="55"/>
      <c r="L433" s="55"/>
      <c r="M433" s="82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</row>
    <row r="434" spans="1:35" ht="13.5" customHeight="1">
      <c r="A434" s="55"/>
      <c r="B434" s="55"/>
      <c r="C434" s="55"/>
      <c r="D434" s="55"/>
      <c r="E434" s="70"/>
      <c r="F434" s="55"/>
      <c r="G434" s="17"/>
      <c r="H434" s="17"/>
      <c r="I434" s="55"/>
      <c r="J434" s="55"/>
      <c r="K434" s="55"/>
      <c r="L434" s="55"/>
      <c r="M434" s="82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</row>
    <row r="435" spans="1:35" ht="13.5" customHeight="1">
      <c r="A435" s="55"/>
      <c r="B435" s="55"/>
      <c r="C435" s="55"/>
      <c r="D435" s="55"/>
      <c r="E435" s="70"/>
      <c r="F435" s="55"/>
      <c r="G435" s="17"/>
      <c r="H435" s="17"/>
      <c r="I435" s="55"/>
      <c r="J435" s="55"/>
      <c r="K435" s="55"/>
      <c r="L435" s="55"/>
      <c r="M435" s="82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</row>
    <row r="436" spans="1:35" ht="13.5" customHeight="1">
      <c r="A436" s="55"/>
      <c r="B436" s="55"/>
      <c r="C436" s="55"/>
      <c r="D436" s="55"/>
      <c r="E436" s="70"/>
      <c r="F436" s="55"/>
      <c r="G436" s="17"/>
      <c r="H436" s="17"/>
      <c r="I436" s="55"/>
      <c r="J436" s="55"/>
      <c r="K436" s="55"/>
      <c r="L436" s="55"/>
      <c r="M436" s="82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</row>
    <row r="437" spans="1:35" ht="13.5" customHeight="1">
      <c r="A437" s="55"/>
      <c r="B437" s="55"/>
      <c r="C437" s="55"/>
      <c r="D437" s="55"/>
      <c r="E437" s="70"/>
      <c r="F437" s="55"/>
      <c r="G437" s="17"/>
      <c r="H437" s="17"/>
      <c r="I437" s="55"/>
      <c r="J437" s="55"/>
      <c r="K437" s="55"/>
      <c r="L437" s="55"/>
      <c r="M437" s="82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</row>
    <row r="438" spans="1:35" ht="13.5" customHeight="1">
      <c r="A438" s="55"/>
      <c r="B438" s="55"/>
      <c r="C438" s="55"/>
      <c r="D438" s="55"/>
      <c r="E438" s="70"/>
      <c r="F438" s="55"/>
      <c r="G438" s="17"/>
      <c r="H438" s="17"/>
      <c r="I438" s="55"/>
      <c r="J438" s="55"/>
      <c r="K438" s="55"/>
      <c r="L438" s="55"/>
      <c r="M438" s="82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</row>
    <row r="439" spans="1:35" ht="13.5" customHeight="1">
      <c r="A439" s="55"/>
      <c r="B439" s="55"/>
      <c r="C439" s="55"/>
      <c r="D439" s="55"/>
      <c r="E439" s="70"/>
      <c r="F439" s="55"/>
      <c r="G439" s="17"/>
      <c r="H439" s="17"/>
      <c r="I439" s="55"/>
      <c r="J439" s="55"/>
      <c r="K439" s="55"/>
      <c r="L439" s="55"/>
      <c r="M439" s="82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</row>
    <row r="440" spans="1:35" ht="13.5" customHeight="1">
      <c r="A440" s="55"/>
      <c r="B440" s="55"/>
      <c r="C440" s="55"/>
      <c r="D440" s="55"/>
      <c r="E440" s="70"/>
      <c r="F440" s="55"/>
      <c r="G440" s="17"/>
      <c r="H440" s="17"/>
      <c r="I440" s="55"/>
      <c r="J440" s="55"/>
      <c r="K440" s="55"/>
      <c r="L440" s="55"/>
      <c r="M440" s="82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</row>
    <row r="441" spans="1:35" ht="13.5" customHeight="1">
      <c r="A441" s="55"/>
      <c r="B441" s="55"/>
      <c r="C441" s="55"/>
      <c r="D441" s="55"/>
      <c r="E441" s="70"/>
      <c r="F441" s="55"/>
      <c r="G441" s="17"/>
      <c r="H441" s="17"/>
      <c r="I441" s="55"/>
      <c r="J441" s="55"/>
      <c r="K441" s="55"/>
      <c r="L441" s="55"/>
      <c r="M441" s="82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</row>
    <row r="442" spans="1:35" ht="13.5" customHeight="1">
      <c r="A442" s="55"/>
      <c r="B442" s="55"/>
      <c r="C442" s="55"/>
      <c r="D442" s="55"/>
      <c r="E442" s="70"/>
      <c r="F442" s="55"/>
      <c r="G442" s="17"/>
      <c r="H442" s="17"/>
      <c r="I442" s="55"/>
      <c r="J442" s="55"/>
      <c r="K442" s="55"/>
      <c r="L442" s="55"/>
      <c r="M442" s="82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</row>
    <row r="443" spans="1:35" ht="13.5" customHeight="1">
      <c r="A443" s="55"/>
      <c r="B443" s="55"/>
      <c r="C443" s="55"/>
      <c r="D443" s="55"/>
      <c r="E443" s="70"/>
      <c r="F443" s="55"/>
      <c r="G443" s="17"/>
      <c r="H443" s="17"/>
      <c r="I443" s="55"/>
      <c r="J443" s="55"/>
      <c r="K443" s="55"/>
      <c r="L443" s="55"/>
      <c r="M443" s="82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</row>
    <row r="444" spans="1:35" ht="13.5" customHeight="1">
      <c r="A444" s="55"/>
      <c r="B444" s="55"/>
      <c r="C444" s="55"/>
      <c r="D444" s="55"/>
      <c r="E444" s="70"/>
      <c r="F444" s="55"/>
      <c r="G444" s="17"/>
      <c r="H444" s="17"/>
      <c r="I444" s="55"/>
      <c r="J444" s="55"/>
      <c r="K444" s="55"/>
      <c r="L444" s="55"/>
      <c r="M444" s="82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</row>
    <row r="445" spans="1:35" ht="13.5" customHeight="1">
      <c r="A445" s="55"/>
      <c r="B445" s="55"/>
      <c r="C445" s="55"/>
      <c r="D445" s="55"/>
      <c r="E445" s="70"/>
      <c r="F445" s="55"/>
      <c r="G445" s="17"/>
      <c r="H445" s="17"/>
      <c r="I445" s="55"/>
      <c r="J445" s="55"/>
      <c r="K445" s="55"/>
      <c r="L445" s="55"/>
      <c r="M445" s="82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</row>
    <row r="446" spans="1:35" ht="13.5" customHeight="1">
      <c r="A446" s="55"/>
      <c r="B446" s="55"/>
      <c r="C446" s="55"/>
      <c r="D446" s="55"/>
      <c r="E446" s="70"/>
      <c r="F446" s="55"/>
      <c r="G446" s="17"/>
      <c r="H446" s="17"/>
      <c r="I446" s="55"/>
      <c r="J446" s="55"/>
      <c r="K446" s="55"/>
      <c r="L446" s="55"/>
      <c r="M446" s="82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</row>
    <row r="447" spans="1:35" ht="13.5" customHeight="1">
      <c r="A447" s="55"/>
      <c r="B447" s="55"/>
      <c r="C447" s="55"/>
      <c r="D447" s="55"/>
      <c r="E447" s="70"/>
      <c r="F447" s="55"/>
      <c r="G447" s="17"/>
      <c r="H447" s="17"/>
      <c r="I447" s="55"/>
      <c r="J447" s="55"/>
      <c r="K447" s="55"/>
      <c r="L447" s="55"/>
      <c r="M447" s="82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</row>
    <row r="448" spans="1:35" ht="13.5" customHeight="1">
      <c r="A448" s="55"/>
      <c r="B448" s="55"/>
      <c r="C448" s="55"/>
      <c r="D448" s="55"/>
      <c r="E448" s="70"/>
      <c r="F448" s="55"/>
      <c r="G448" s="17"/>
      <c r="H448" s="17"/>
      <c r="I448" s="55"/>
      <c r="J448" s="55"/>
      <c r="K448" s="55"/>
      <c r="L448" s="55"/>
      <c r="M448" s="82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</row>
    <row r="449" spans="1:35" ht="13.5" customHeight="1">
      <c r="A449" s="55"/>
      <c r="B449" s="55"/>
      <c r="C449" s="55"/>
      <c r="D449" s="55"/>
      <c r="E449" s="70"/>
      <c r="F449" s="55"/>
      <c r="G449" s="17"/>
      <c r="H449" s="17"/>
      <c r="I449" s="55"/>
      <c r="J449" s="55"/>
      <c r="K449" s="55"/>
      <c r="L449" s="55"/>
      <c r="M449" s="82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</row>
    <row r="450" spans="1:35" ht="13.5" customHeight="1">
      <c r="A450" s="55"/>
      <c r="B450" s="55"/>
      <c r="C450" s="55"/>
      <c r="D450" s="55"/>
      <c r="E450" s="70"/>
      <c r="F450" s="55"/>
      <c r="G450" s="17"/>
      <c r="H450" s="17"/>
      <c r="I450" s="55"/>
      <c r="J450" s="55"/>
      <c r="K450" s="55"/>
      <c r="L450" s="55"/>
      <c r="M450" s="82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</row>
    <row r="451" spans="1:35" ht="13.5" customHeight="1">
      <c r="A451" s="55"/>
      <c r="B451" s="55"/>
      <c r="C451" s="55"/>
      <c r="D451" s="55"/>
      <c r="E451" s="70"/>
      <c r="F451" s="55"/>
      <c r="G451" s="17"/>
      <c r="H451" s="17"/>
      <c r="I451" s="55"/>
      <c r="J451" s="55"/>
      <c r="K451" s="55"/>
      <c r="L451" s="55"/>
      <c r="M451" s="82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</row>
    <row r="452" spans="1:35" ht="13.5" customHeight="1">
      <c r="A452" s="55"/>
      <c r="B452" s="55"/>
      <c r="C452" s="55"/>
      <c r="D452" s="55"/>
      <c r="E452" s="70"/>
      <c r="F452" s="55"/>
      <c r="G452" s="17"/>
      <c r="H452" s="17"/>
      <c r="I452" s="55"/>
      <c r="J452" s="55"/>
      <c r="K452" s="55"/>
      <c r="L452" s="55"/>
      <c r="M452" s="82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</row>
    <row r="453" spans="1:35" ht="13.5" customHeight="1">
      <c r="A453" s="55"/>
      <c r="B453" s="55"/>
      <c r="C453" s="55"/>
      <c r="D453" s="55"/>
      <c r="E453" s="70"/>
      <c r="F453" s="55"/>
      <c r="G453" s="17"/>
      <c r="H453" s="17"/>
      <c r="I453" s="55"/>
      <c r="J453" s="55"/>
      <c r="K453" s="55"/>
      <c r="L453" s="55"/>
      <c r="M453" s="82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</row>
    <row r="454" spans="1:35" ht="13.5" customHeight="1">
      <c r="A454" s="55"/>
      <c r="B454" s="55"/>
      <c r="C454" s="55"/>
      <c r="D454" s="55"/>
      <c r="E454" s="70"/>
      <c r="F454" s="55"/>
      <c r="G454" s="17"/>
      <c r="H454" s="17"/>
      <c r="I454" s="55"/>
      <c r="J454" s="55"/>
      <c r="K454" s="55"/>
      <c r="L454" s="55"/>
      <c r="M454" s="82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</row>
    <row r="455" spans="1:35" ht="13.5" customHeight="1">
      <c r="A455" s="55"/>
      <c r="B455" s="55"/>
      <c r="C455" s="55"/>
      <c r="D455" s="55"/>
      <c r="E455" s="70"/>
      <c r="F455" s="55"/>
      <c r="G455" s="17"/>
      <c r="H455" s="17"/>
      <c r="I455" s="55"/>
      <c r="J455" s="55"/>
      <c r="K455" s="55"/>
      <c r="L455" s="55"/>
      <c r="M455" s="82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</row>
    <row r="456" spans="1:35" ht="13.5" customHeight="1">
      <c r="A456" s="55"/>
      <c r="B456" s="55"/>
      <c r="C456" s="55"/>
      <c r="D456" s="55"/>
      <c r="E456" s="70"/>
      <c r="F456" s="55"/>
      <c r="G456" s="17"/>
      <c r="H456" s="17"/>
      <c r="I456" s="55"/>
      <c r="J456" s="55"/>
      <c r="K456" s="55"/>
      <c r="L456" s="55"/>
      <c r="M456" s="82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</row>
    <row r="457" spans="1:35" ht="13.5" customHeight="1">
      <c r="A457" s="55"/>
      <c r="B457" s="55"/>
      <c r="C457" s="55"/>
      <c r="D457" s="55"/>
      <c r="E457" s="70"/>
      <c r="F457" s="55"/>
      <c r="G457" s="17"/>
      <c r="H457" s="17"/>
      <c r="I457" s="55"/>
      <c r="J457" s="55"/>
      <c r="K457" s="55"/>
      <c r="L457" s="55"/>
      <c r="M457" s="82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</row>
    <row r="458" spans="1:35" ht="13.5" customHeight="1">
      <c r="A458" s="55"/>
      <c r="B458" s="55"/>
      <c r="C458" s="55"/>
      <c r="D458" s="55"/>
      <c r="E458" s="70"/>
      <c r="F458" s="55"/>
      <c r="G458" s="17"/>
      <c r="H458" s="17"/>
      <c r="I458" s="55"/>
      <c r="J458" s="55"/>
      <c r="K458" s="55"/>
      <c r="L458" s="55"/>
      <c r="M458" s="82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</row>
    <row r="459" spans="1:35" ht="13.5" customHeight="1">
      <c r="A459" s="55"/>
      <c r="B459" s="55"/>
      <c r="C459" s="55"/>
      <c r="D459" s="55"/>
      <c r="E459" s="70"/>
      <c r="F459" s="55"/>
      <c r="G459" s="17"/>
      <c r="H459" s="17"/>
      <c r="I459" s="55"/>
      <c r="J459" s="55"/>
      <c r="K459" s="55"/>
      <c r="L459" s="55"/>
      <c r="M459" s="82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</row>
    <row r="460" spans="1:35" ht="13.5" customHeight="1">
      <c r="A460" s="55"/>
      <c r="B460" s="55"/>
      <c r="C460" s="55"/>
      <c r="D460" s="55"/>
      <c r="E460" s="70"/>
      <c r="F460" s="55"/>
      <c r="G460" s="17"/>
      <c r="H460" s="17"/>
      <c r="I460" s="55"/>
      <c r="J460" s="55"/>
      <c r="K460" s="55"/>
      <c r="L460" s="55"/>
      <c r="M460" s="82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</row>
    <row r="461" spans="1:35" ht="13.5" customHeight="1">
      <c r="A461" s="55"/>
      <c r="B461" s="55"/>
      <c r="C461" s="55"/>
      <c r="D461" s="55"/>
      <c r="E461" s="70"/>
      <c r="F461" s="55"/>
      <c r="G461" s="17"/>
      <c r="H461" s="17"/>
      <c r="I461" s="55"/>
      <c r="J461" s="55"/>
      <c r="K461" s="55"/>
      <c r="L461" s="55"/>
      <c r="M461" s="82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</row>
    <row r="462" spans="1:35" ht="13.5" customHeight="1">
      <c r="A462" s="55"/>
      <c r="B462" s="55"/>
      <c r="C462" s="55"/>
      <c r="D462" s="55"/>
      <c r="E462" s="70"/>
      <c r="F462" s="55"/>
      <c r="G462" s="17"/>
      <c r="H462" s="17"/>
      <c r="I462" s="55"/>
      <c r="J462" s="55"/>
      <c r="K462" s="55"/>
      <c r="L462" s="55"/>
      <c r="M462" s="82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</row>
    <row r="463" spans="1:35" ht="13.5" customHeight="1">
      <c r="A463" s="55"/>
      <c r="B463" s="55"/>
      <c r="C463" s="55"/>
      <c r="D463" s="55"/>
      <c r="E463" s="70"/>
      <c r="F463" s="55"/>
      <c r="G463" s="17"/>
      <c r="H463" s="17"/>
      <c r="I463" s="55"/>
      <c r="J463" s="55"/>
      <c r="K463" s="55"/>
      <c r="L463" s="55"/>
      <c r="M463" s="82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</row>
    <row r="464" spans="1:35" ht="13.5" customHeight="1">
      <c r="A464" s="55"/>
      <c r="B464" s="55"/>
      <c r="C464" s="55"/>
      <c r="D464" s="55"/>
      <c r="E464" s="70"/>
      <c r="F464" s="55"/>
      <c r="G464" s="17"/>
      <c r="H464" s="17"/>
      <c r="I464" s="55"/>
      <c r="J464" s="55"/>
      <c r="K464" s="55"/>
      <c r="L464" s="55"/>
      <c r="M464" s="82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</row>
    <row r="465" spans="1:35" ht="13.5" customHeight="1">
      <c r="A465" s="55"/>
      <c r="B465" s="55"/>
      <c r="C465" s="55"/>
      <c r="D465" s="55"/>
      <c r="E465" s="70"/>
      <c r="F465" s="55"/>
      <c r="G465" s="17"/>
      <c r="H465" s="17"/>
      <c r="I465" s="55"/>
      <c r="J465" s="55"/>
      <c r="K465" s="55"/>
      <c r="L465" s="55"/>
      <c r="M465" s="82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</row>
    <row r="466" spans="1:35" ht="13.5" customHeight="1">
      <c r="A466" s="55"/>
      <c r="B466" s="55"/>
      <c r="C466" s="55"/>
      <c r="D466" s="55"/>
      <c r="E466" s="70"/>
      <c r="F466" s="55"/>
      <c r="G466" s="17"/>
      <c r="H466" s="17"/>
      <c r="I466" s="55"/>
      <c r="J466" s="55"/>
      <c r="K466" s="55"/>
      <c r="L466" s="55"/>
      <c r="M466" s="82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</row>
    <row r="467" spans="1:35" ht="13.5" customHeight="1">
      <c r="A467" s="55"/>
      <c r="B467" s="55"/>
      <c r="C467" s="55"/>
      <c r="D467" s="55"/>
      <c r="E467" s="70"/>
      <c r="F467" s="55"/>
      <c r="G467" s="17"/>
      <c r="H467" s="17"/>
      <c r="I467" s="55"/>
      <c r="J467" s="55"/>
      <c r="K467" s="55"/>
      <c r="L467" s="55"/>
      <c r="M467" s="82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</row>
    <row r="468" spans="1:35" ht="13.5" customHeight="1">
      <c r="A468" s="55"/>
      <c r="B468" s="55"/>
      <c r="C468" s="55"/>
      <c r="D468" s="55"/>
      <c r="E468" s="70"/>
      <c r="F468" s="55"/>
      <c r="G468" s="17"/>
      <c r="H468" s="17"/>
      <c r="I468" s="55"/>
      <c r="J468" s="55"/>
      <c r="K468" s="55"/>
      <c r="L468" s="55"/>
      <c r="M468" s="82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</row>
    <row r="469" spans="1:35" ht="13.5" customHeight="1">
      <c r="A469" s="55"/>
      <c r="B469" s="55"/>
      <c r="C469" s="55"/>
      <c r="D469" s="55"/>
      <c r="E469" s="70"/>
      <c r="F469" s="55"/>
      <c r="G469" s="17"/>
      <c r="H469" s="17"/>
      <c r="I469" s="55"/>
      <c r="J469" s="55"/>
      <c r="K469" s="55"/>
      <c r="L469" s="55"/>
      <c r="M469" s="82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</row>
    <row r="470" spans="1:35" ht="13.5" customHeight="1">
      <c r="A470" s="55"/>
      <c r="B470" s="55"/>
      <c r="C470" s="55"/>
      <c r="D470" s="55"/>
      <c r="E470" s="70"/>
      <c r="F470" s="55"/>
      <c r="G470" s="17"/>
      <c r="H470" s="17"/>
      <c r="I470" s="55"/>
      <c r="J470" s="55"/>
      <c r="K470" s="55"/>
      <c r="L470" s="55"/>
      <c r="M470" s="82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</row>
    <row r="471" spans="1:35" ht="13.5" customHeight="1">
      <c r="A471" s="55"/>
      <c r="B471" s="55"/>
      <c r="C471" s="55"/>
      <c r="D471" s="55"/>
      <c r="E471" s="70"/>
      <c r="F471" s="55"/>
      <c r="G471" s="17"/>
      <c r="H471" s="17"/>
      <c r="I471" s="55"/>
      <c r="J471" s="55"/>
      <c r="K471" s="55"/>
      <c r="L471" s="55"/>
      <c r="M471" s="82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</row>
    <row r="472" spans="1:35" ht="13.5" customHeight="1">
      <c r="A472" s="55"/>
      <c r="B472" s="55"/>
      <c r="C472" s="55"/>
      <c r="D472" s="55"/>
      <c r="E472" s="70"/>
      <c r="F472" s="55"/>
      <c r="G472" s="17"/>
      <c r="H472" s="17"/>
      <c r="I472" s="55"/>
      <c r="J472" s="55"/>
      <c r="K472" s="55"/>
      <c r="L472" s="55"/>
      <c r="M472" s="82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</row>
    <row r="473" spans="1:35" ht="13.5" customHeight="1">
      <c r="A473" s="55"/>
      <c r="B473" s="55"/>
      <c r="C473" s="55"/>
      <c r="D473" s="55"/>
      <c r="E473" s="70"/>
      <c r="F473" s="55"/>
      <c r="G473" s="17"/>
      <c r="H473" s="17"/>
      <c r="I473" s="55"/>
      <c r="J473" s="55"/>
      <c r="K473" s="55"/>
      <c r="L473" s="55"/>
      <c r="M473" s="82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</row>
    <row r="474" spans="1:35" ht="13.5" customHeight="1">
      <c r="A474" s="55"/>
      <c r="B474" s="55"/>
      <c r="C474" s="55"/>
      <c r="D474" s="55"/>
      <c r="E474" s="70"/>
      <c r="F474" s="55"/>
      <c r="G474" s="17"/>
      <c r="H474" s="17"/>
      <c r="I474" s="55"/>
      <c r="J474" s="55"/>
      <c r="K474" s="55"/>
      <c r="L474" s="55"/>
      <c r="M474" s="82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</row>
    <row r="475" spans="1:35" ht="13.5" customHeight="1">
      <c r="A475" s="55"/>
      <c r="B475" s="55"/>
      <c r="C475" s="55"/>
      <c r="D475" s="55"/>
      <c r="E475" s="70"/>
      <c r="F475" s="55"/>
      <c r="G475" s="17"/>
      <c r="H475" s="17"/>
      <c r="I475" s="55"/>
      <c r="J475" s="55"/>
      <c r="K475" s="55"/>
      <c r="L475" s="55"/>
      <c r="M475" s="82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</row>
    <row r="476" spans="1:35" ht="13.5" customHeight="1">
      <c r="A476" s="55"/>
      <c r="B476" s="55"/>
      <c r="C476" s="55"/>
      <c r="D476" s="55"/>
      <c r="E476" s="70"/>
      <c r="F476" s="55"/>
      <c r="G476" s="17"/>
      <c r="H476" s="17"/>
      <c r="I476" s="55"/>
      <c r="J476" s="55"/>
      <c r="K476" s="55"/>
      <c r="L476" s="55"/>
      <c r="M476" s="82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</row>
    <row r="477" spans="1:35" ht="13.5" customHeight="1">
      <c r="A477" s="55"/>
      <c r="B477" s="55"/>
      <c r="C477" s="55"/>
      <c r="D477" s="55"/>
      <c r="E477" s="70"/>
      <c r="F477" s="55"/>
      <c r="G477" s="17"/>
      <c r="H477" s="17"/>
      <c r="I477" s="55"/>
      <c r="J477" s="55"/>
      <c r="K477" s="55"/>
      <c r="L477" s="55"/>
      <c r="M477" s="82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</row>
    <row r="478" spans="1:35" ht="13.5" customHeight="1">
      <c r="A478" s="55"/>
      <c r="B478" s="55"/>
      <c r="C478" s="55"/>
      <c r="D478" s="55"/>
      <c r="E478" s="70"/>
      <c r="F478" s="55"/>
      <c r="G478" s="17"/>
      <c r="H478" s="17"/>
      <c r="I478" s="55"/>
      <c r="J478" s="55"/>
      <c r="K478" s="55"/>
      <c r="L478" s="55"/>
      <c r="M478" s="82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</row>
    <row r="479" spans="1:35" ht="13.5" customHeight="1">
      <c r="A479" s="55"/>
      <c r="B479" s="55"/>
      <c r="C479" s="55"/>
      <c r="D479" s="55"/>
      <c r="E479" s="70"/>
      <c r="F479" s="55"/>
      <c r="G479" s="17"/>
      <c r="H479" s="17"/>
      <c r="I479" s="55"/>
      <c r="J479" s="55"/>
      <c r="K479" s="55"/>
      <c r="L479" s="55"/>
      <c r="M479" s="82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</row>
    <row r="480" spans="1:35" ht="13.5" customHeight="1">
      <c r="A480" s="55"/>
      <c r="B480" s="55"/>
      <c r="C480" s="55"/>
      <c r="D480" s="55"/>
      <c r="E480" s="70"/>
      <c r="F480" s="55"/>
      <c r="G480" s="17"/>
      <c r="H480" s="17"/>
      <c r="I480" s="55"/>
      <c r="J480" s="55"/>
      <c r="K480" s="55"/>
      <c r="L480" s="55"/>
      <c r="M480" s="82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</row>
    <row r="481" spans="1:35" ht="13.5" customHeight="1">
      <c r="A481" s="55"/>
      <c r="B481" s="55"/>
      <c r="C481" s="55"/>
      <c r="D481" s="55"/>
      <c r="E481" s="70"/>
      <c r="F481" s="55"/>
      <c r="G481" s="17"/>
      <c r="H481" s="17"/>
      <c r="I481" s="55"/>
      <c r="J481" s="55"/>
      <c r="K481" s="55"/>
      <c r="L481" s="55"/>
      <c r="M481" s="82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</row>
    <row r="482" spans="1:35" ht="13.5" customHeight="1">
      <c r="A482" s="55"/>
      <c r="B482" s="55"/>
      <c r="C482" s="55"/>
      <c r="D482" s="55"/>
      <c r="E482" s="70"/>
      <c r="F482" s="55"/>
      <c r="G482" s="17"/>
      <c r="H482" s="17"/>
      <c r="I482" s="55"/>
      <c r="J482" s="55"/>
      <c r="K482" s="55"/>
      <c r="L482" s="55"/>
      <c r="M482" s="82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</row>
    <row r="483" spans="1:35" ht="13.5" customHeight="1">
      <c r="A483" s="55"/>
      <c r="B483" s="55"/>
      <c r="C483" s="55"/>
      <c r="D483" s="55"/>
      <c r="E483" s="70"/>
      <c r="F483" s="55"/>
      <c r="G483" s="17"/>
      <c r="H483" s="17"/>
      <c r="I483" s="55"/>
      <c r="J483" s="55"/>
      <c r="K483" s="55"/>
      <c r="L483" s="55"/>
      <c r="M483" s="82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</row>
    <row r="484" spans="1:35" ht="13.5" customHeight="1">
      <c r="A484" s="55"/>
      <c r="B484" s="55"/>
      <c r="C484" s="55"/>
      <c r="D484" s="55"/>
      <c r="E484" s="70"/>
      <c r="F484" s="55"/>
      <c r="G484" s="17"/>
      <c r="H484" s="17"/>
      <c r="I484" s="55"/>
      <c r="J484" s="55"/>
      <c r="K484" s="55"/>
      <c r="L484" s="55"/>
      <c r="M484" s="82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</row>
    <row r="485" spans="1:35" ht="13.5" customHeight="1">
      <c r="A485" s="55"/>
      <c r="B485" s="55"/>
      <c r="C485" s="55"/>
      <c r="D485" s="55"/>
      <c r="E485" s="70"/>
      <c r="F485" s="55"/>
      <c r="G485" s="17"/>
      <c r="H485" s="17"/>
      <c r="I485" s="55"/>
      <c r="J485" s="55"/>
      <c r="K485" s="55"/>
      <c r="L485" s="55"/>
      <c r="M485" s="82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</row>
    <row r="486" spans="1:35" ht="13.5" customHeight="1">
      <c r="A486" s="55"/>
      <c r="B486" s="55"/>
      <c r="C486" s="55"/>
      <c r="D486" s="55"/>
      <c r="E486" s="70"/>
      <c r="F486" s="55"/>
      <c r="G486" s="17"/>
      <c r="H486" s="17"/>
      <c r="I486" s="55"/>
      <c r="J486" s="55"/>
      <c r="K486" s="55"/>
      <c r="L486" s="55"/>
      <c r="M486" s="82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</row>
    <row r="487" spans="1:35" ht="13.5" customHeight="1">
      <c r="A487" s="55"/>
      <c r="B487" s="55"/>
      <c r="C487" s="55"/>
      <c r="D487" s="55"/>
      <c r="E487" s="70"/>
      <c r="F487" s="55"/>
      <c r="G487" s="17"/>
      <c r="H487" s="17"/>
      <c r="I487" s="55"/>
      <c r="J487" s="55"/>
      <c r="K487" s="55"/>
      <c r="L487" s="55"/>
      <c r="M487" s="82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</row>
    <row r="488" spans="1:35" ht="13.5" customHeight="1">
      <c r="A488" s="55"/>
      <c r="B488" s="55"/>
      <c r="C488" s="55"/>
      <c r="D488" s="55"/>
      <c r="E488" s="70"/>
      <c r="F488" s="55"/>
      <c r="G488" s="17"/>
      <c r="H488" s="17"/>
      <c r="I488" s="55"/>
      <c r="J488" s="55"/>
      <c r="K488" s="55"/>
      <c r="L488" s="55"/>
      <c r="M488" s="82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</row>
    <row r="489" spans="1:35" ht="13.5" customHeight="1">
      <c r="A489" s="55"/>
      <c r="B489" s="55"/>
      <c r="C489" s="55"/>
      <c r="D489" s="55"/>
      <c r="E489" s="70"/>
      <c r="F489" s="55"/>
      <c r="G489" s="17"/>
      <c r="H489" s="17"/>
      <c r="I489" s="55"/>
      <c r="J489" s="55"/>
      <c r="K489" s="55"/>
      <c r="L489" s="55"/>
      <c r="M489" s="82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</row>
    <row r="490" spans="1:35" ht="13.5" customHeight="1">
      <c r="A490" s="55"/>
      <c r="B490" s="55"/>
      <c r="C490" s="55"/>
      <c r="D490" s="55"/>
      <c r="E490" s="70"/>
      <c r="F490" s="55"/>
      <c r="G490" s="17"/>
      <c r="H490" s="17"/>
      <c r="I490" s="55"/>
      <c r="J490" s="55"/>
      <c r="K490" s="55"/>
      <c r="L490" s="55"/>
      <c r="M490" s="82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</row>
    <row r="491" spans="1:35" ht="13.5" customHeight="1">
      <c r="A491" s="55"/>
      <c r="B491" s="55"/>
      <c r="C491" s="55"/>
      <c r="D491" s="55"/>
      <c r="E491" s="70"/>
      <c r="F491" s="55"/>
      <c r="G491" s="17"/>
      <c r="H491" s="17"/>
      <c r="I491" s="55"/>
      <c r="J491" s="55"/>
      <c r="K491" s="55"/>
      <c r="L491" s="55"/>
      <c r="M491" s="82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</row>
    <row r="492" spans="1:35" ht="13.5" customHeight="1">
      <c r="A492" s="55"/>
      <c r="B492" s="55"/>
      <c r="C492" s="55"/>
      <c r="D492" s="55"/>
      <c r="E492" s="70"/>
      <c r="F492" s="55"/>
      <c r="G492" s="17"/>
      <c r="H492" s="17"/>
      <c r="I492" s="55"/>
      <c r="J492" s="55"/>
      <c r="K492" s="55"/>
      <c r="L492" s="55"/>
      <c r="M492" s="82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</row>
    <row r="493" spans="1:35" ht="13.5" customHeight="1">
      <c r="A493" s="55"/>
      <c r="B493" s="55"/>
      <c r="C493" s="55"/>
      <c r="D493" s="55"/>
      <c r="E493" s="70"/>
      <c r="F493" s="55"/>
      <c r="G493" s="17"/>
      <c r="H493" s="17"/>
      <c r="I493" s="55"/>
      <c r="J493" s="55"/>
      <c r="K493" s="55"/>
      <c r="L493" s="55"/>
      <c r="M493" s="82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</row>
    <row r="494" spans="1:35" ht="13.5" customHeight="1">
      <c r="A494" s="55"/>
      <c r="B494" s="55"/>
      <c r="C494" s="55"/>
      <c r="D494" s="55"/>
      <c r="E494" s="70"/>
      <c r="F494" s="55"/>
      <c r="G494" s="17"/>
      <c r="H494" s="17"/>
      <c r="I494" s="55"/>
      <c r="J494" s="55"/>
      <c r="K494" s="55"/>
      <c r="L494" s="55"/>
      <c r="M494" s="82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</row>
    <row r="495" spans="1:35" ht="13.5" customHeight="1">
      <c r="A495" s="55"/>
      <c r="B495" s="55"/>
      <c r="C495" s="55"/>
      <c r="D495" s="55"/>
      <c r="E495" s="70"/>
      <c r="F495" s="55"/>
      <c r="G495" s="17"/>
      <c r="H495" s="17"/>
      <c r="I495" s="55"/>
      <c r="J495" s="55"/>
      <c r="K495" s="55"/>
      <c r="L495" s="55"/>
      <c r="M495" s="82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</row>
    <row r="496" spans="1:35" ht="13.5" customHeight="1">
      <c r="A496" s="55"/>
      <c r="B496" s="55"/>
      <c r="C496" s="55"/>
      <c r="D496" s="55"/>
      <c r="E496" s="70"/>
      <c r="F496" s="55"/>
      <c r="G496" s="17"/>
      <c r="H496" s="17"/>
      <c r="I496" s="55"/>
      <c r="J496" s="55"/>
      <c r="K496" s="55"/>
      <c r="L496" s="55"/>
      <c r="M496" s="82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</row>
    <row r="497" spans="1:35" ht="13.5" customHeight="1">
      <c r="A497" s="55"/>
      <c r="B497" s="55"/>
      <c r="C497" s="55"/>
      <c r="D497" s="55"/>
      <c r="E497" s="70"/>
      <c r="F497" s="55"/>
      <c r="G497" s="17"/>
      <c r="H497" s="17"/>
      <c r="I497" s="55"/>
      <c r="J497" s="55"/>
      <c r="K497" s="55"/>
      <c r="L497" s="55"/>
      <c r="M497" s="82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</row>
    <row r="498" spans="1:35" ht="13.5" customHeight="1">
      <c r="A498" s="55"/>
      <c r="B498" s="55"/>
      <c r="C498" s="55"/>
      <c r="D498" s="55"/>
      <c r="E498" s="70"/>
      <c r="F498" s="55"/>
      <c r="G498" s="17"/>
      <c r="H498" s="17"/>
      <c r="I498" s="55"/>
      <c r="J498" s="55"/>
      <c r="K498" s="55"/>
      <c r="L498" s="55"/>
      <c r="M498" s="82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</row>
    <row r="499" spans="1:35" ht="13.5" customHeight="1">
      <c r="A499" s="55"/>
      <c r="B499" s="55"/>
      <c r="C499" s="55"/>
      <c r="D499" s="55"/>
      <c r="E499" s="70"/>
      <c r="F499" s="55"/>
      <c r="G499" s="17"/>
      <c r="H499" s="17"/>
      <c r="I499" s="55"/>
      <c r="J499" s="55"/>
      <c r="K499" s="55"/>
      <c r="L499" s="55"/>
      <c r="M499" s="82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</row>
    <row r="500" spans="1:35" ht="13.5" customHeight="1">
      <c r="A500" s="55"/>
      <c r="B500" s="55"/>
      <c r="C500" s="55"/>
      <c r="D500" s="55"/>
      <c r="E500" s="70"/>
      <c r="F500" s="55"/>
      <c r="G500" s="17"/>
      <c r="H500" s="17"/>
      <c r="I500" s="55"/>
      <c r="J500" s="55"/>
      <c r="K500" s="55"/>
      <c r="L500" s="55"/>
      <c r="M500" s="82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</row>
    <row r="501" spans="1:35" ht="13.5" customHeight="1">
      <c r="A501" s="55"/>
      <c r="B501" s="55"/>
      <c r="C501" s="55"/>
      <c r="D501" s="55"/>
      <c r="E501" s="70"/>
      <c r="F501" s="55"/>
      <c r="G501" s="17"/>
      <c r="H501" s="17"/>
      <c r="I501" s="55"/>
      <c r="J501" s="55"/>
      <c r="K501" s="55"/>
      <c r="L501" s="55"/>
      <c r="M501" s="82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</row>
    <row r="502" spans="1:35" ht="13.5" customHeight="1">
      <c r="A502" s="55"/>
      <c r="B502" s="55"/>
      <c r="C502" s="55"/>
      <c r="D502" s="55"/>
      <c r="E502" s="70"/>
      <c r="F502" s="55"/>
      <c r="G502" s="17"/>
      <c r="H502" s="17"/>
      <c r="I502" s="55"/>
      <c r="J502" s="55"/>
      <c r="K502" s="55"/>
      <c r="L502" s="55"/>
      <c r="M502" s="82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</row>
    <row r="503" spans="1:35" ht="13.5" customHeight="1">
      <c r="A503" s="55"/>
      <c r="B503" s="55"/>
      <c r="C503" s="55"/>
      <c r="D503" s="55"/>
      <c r="E503" s="70"/>
      <c r="F503" s="55"/>
      <c r="G503" s="17"/>
      <c r="H503" s="17"/>
      <c r="I503" s="55"/>
      <c r="J503" s="55"/>
      <c r="K503" s="55"/>
      <c r="L503" s="55"/>
      <c r="M503" s="82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</row>
    <row r="504" spans="1:35" ht="13.5" customHeight="1">
      <c r="A504" s="55"/>
      <c r="B504" s="55"/>
      <c r="C504" s="55"/>
      <c r="D504" s="55"/>
      <c r="E504" s="70"/>
      <c r="F504" s="55"/>
      <c r="G504" s="17"/>
      <c r="H504" s="17"/>
      <c r="I504" s="55"/>
      <c r="J504" s="55"/>
      <c r="K504" s="55"/>
      <c r="L504" s="55"/>
      <c r="M504" s="82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</row>
    <row r="505" spans="1:35" ht="13.5" customHeight="1">
      <c r="A505" s="55"/>
      <c r="B505" s="55"/>
      <c r="C505" s="55"/>
      <c r="D505" s="55"/>
      <c r="E505" s="70"/>
      <c r="F505" s="55"/>
      <c r="G505" s="17"/>
      <c r="H505" s="17"/>
      <c r="I505" s="55"/>
      <c r="J505" s="55"/>
      <c r="K505" s="55"/>
      <c r="L505" s="55"/>
      <c r="M505" s="82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</row>
    <row r="506" spans="1:35" ht="13.5" customHeight="1">
      <c r="A506" s="55"/>
      <c r="B506" s="55"/>
      <c r="C506" s="55"/>
      <c r="D506" s="55"/>
      <c r="E506" s="70"/>
      <c r="F506" s="55"/>
      <c r="G506" s="17"/>
      <c r="H506" s="17"/>
      <c r="I506" s="55"/>
      <c r="J506" s="55"/>
      <c r="K506" s="55"/>
      <c r="L506" s="55"/>
      <c r="M506" s="82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</row>
    <row r="507" spans="1:35" ht="13.5" customHeight="1">
      <c r="A507" s="55"/>
      <c r="B507" s="55"/>
      <c r="C507" s="55"/>
      <c r="D507" s="55"/>
      <c r="E507" s="70"/>
      <c r="F507" s="55"/>
      <c r="G507" s="17"/>
      <c r="H507" s="17"/>
      <c r="I507" s="55"/>
      <c r="J507" s="55"/>
      <c r="K507" s="55"/>
      <c r="L507" s="55"/>
      <c r="M507" s="82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</row>
    <row r="508" spans="1:35" ht="13.5" customHeight="1">
      <c r="A508" s="55"/>
      <c r="B508" s="55"/>
      <c r="C508" s="55"/>
      <c r="D508" s="55"/>
      <c r="E508" s="70"/>
      <c r="F508" s="55"/>
      <c r="G508" s="17"/>
      <c r="H508" s="17"/>
      <c r="I508" s="55"/>
      <c r="J508" s="55"/>
      <c r="K508" s="55"/>
      <c r="L508" s="55"/>
      <c r="M508" s="82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</row>
    <row r="509" spans="1:35" ht="13.5" customHeight="1">
      <c r="A509" s="55"/>
      <c r="B509" s="55"/>
      <c r="C509" s="55"/>
      <c r="D509" s="55"/>
      <c r="E509" s="70"/>
      <c r="F509" s="55"/>
      <c r="G509" s="17"/>
      <c r="H509" s="17"/>
      <c r="I509" s="55"/>
      <c r="J509" s="55"/>
      <c r="K509" s="55"/>
      <c r="L509" s="55"/>
      <c r="M509" s="82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</row>
    <row r="510" spans="1:35" ht="13.5" customHeight="1">
      <c r="A510" s="55"/>
      <c r="B510" s="55"/>
      <c r="C510" s="55"/>
      <c r="D510" s="55"/>
      <c r="E510" s="70"/>
      <c r="F510" s="55"/>
      <c r="G510" s="17"/>
      <c r="H510" s="17"/>
      <c r="I510" s="55"/>
      <c r="J510" s="55"/>
      <c r="K510" s="55"/>
      <c r="L510" s="55"/>
      <c r="M510" s="82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</row>
    <row r="511" spans="1:35" ht="13.5" customHeight="1">
      <c r="A511" s="55"/>
      <c r="B511" s="55"/>
      <c r="C511" s="55"/>
      <c r="D511" s="55"/>
      <c r="E511" s="70"/>
      <c r="F511" s="55"/>
      <c r="G511" s="17"/>
      <c r="H511" s="17"/>
      <c r="I511" s="55"/>
      <c r="J511" s="55"/>
      <c r="K511" s="55"/>
      <c r="L511" s="55"/>
      <c r="M511" s="82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</row>
    <row r="512" spans="1:35" ht="13.5" customHeight="1">
      <c r="A512" s="55"/>
      <c r="B512" s="55"/>
      <c r="C512" s="55"/>
      <c r="D512" s="55"/>
      <c r="E512" s="70"/>
      <c r="F512" s="55"/>
      <c r="G512" s="17"/>
      <c r="H512" s="17"/>
      <c r="I512" s="55"/>
      <c r="J512" s="55"/>
      <c r="K512" s="55"/>
      <c r="L512" s="55"/>
      <c r="M512" s="82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</row>
    <row r="513" spans="1:35" ht="13.5" customHeight="1">
      <c r="A513" s="55"/>
      <c r="B513" s="55"/>
      <c r="C513" s="55"/>
      <c r="D513" s="55"/>
      <c r="E513" s="70"/>
      <c r="F513" s="55"/>
      <c r="G513" s="17"/>
      <c r="H513" s="17"/>
      <c r="I513" s="55"/>
      <c r="J513" s="55"/>
      <c r="K513" s="55"/>
      <c r="L513" s="55"/>
      <c r="M513" s="82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</row>
    <row r="514" spans="1:35" ht="13.5" customHeight="1">
      <c r="A514" s="55"/>
      <c r="B514" s="55"/>
      <c r="C514" s="55"/>
      <c r="D514" s="55"/>
      <c r="E514" s="70"/>
      <c r="F514" s="55"/>
      <c r="G514" s="17"/>
      <c r="H514" s="17"/>
      <c r="I514" s="55"/>
      <c r="J514" s="55"/>
      <c r="K514" s="55"/>
      <c r="L514" s="55"/>
      <c r="M514" s="82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</row>
    <row r="515" spans="1:35" ht="13.5" customHeight="1">
      <c r="A515" s="55"/>
      <c r="B515" s="55"/>
      <c r="C515" s="55"/>
      <c r="D515" s="55"/>
      <c r="E515" s="70"/>
      <c r="F515" s="55"/>
      <c r="G515" s="17"/>
      <c r="H515" s="17"/>
      <c r="I515" s="55"/>
      <c r="J515" s="55"/>
      <c r="K515" s="55"/>
      <c r="L515" s="55"/>
      <c r="M515" s="82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</row>
    <row r="516" spans="1:35" ht="13.5" customHeight="1">
      <c r="A516" s="55"/>
      <c r="B516" s="55"/>
      <c r="C516" s="55"/>
      <c r="D516" s="55"/>
      <c r="E516" s="70"/>
      <c r="F516" s="55"/>
      <c r="G516" s="17"/>
      <c r="H516" s="17"/>
      <c r="I516" s="55"/>
      <c r="J516" s="55"/>
      <c r="K516" s="55"/>
      <c r="L516" s="55"/>
      <c r="M516" s="82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</row>
    <row r="517" spans="1:35" ht="13.5" customHeight="1">
      <c r="A517" s="55"/>
      <c r="B517" s="55"/>
      <c r="C517" s="55"/>
      <c r="D517" s="55"/>
      <c r="E517" s="70"/>
      <c r="F517" s="55"/>
      <c r="G517" s="17"/>
      <c r="H517" s="17"/>
      <c r="I517" s="55"/>
      <c r="J517" s="55"/>
      <c r="K517" s="55"/>
      <c r="L517" s="55"/>
      <c r="M517" s="82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</row>
    <row r="518" spans="1:35" ht="13.5" customHeight="1">
      <c r="A518" s="55"/>
      <c r="B518" s="55"/>
      <c r="C518" s="55"/>
      <c r="D518" s="55"/>
      <c r="E518" s="70"/>
      <c r="F518" s="55"/>
      <c r="G518" s="17"/>
      <c r="H518" s="17"/>
      <c r="I518" s="55"/>
      <c r="J518" s="55"/>
      <c r="K518" s="55"/>
      <c r="L518" s="55"/>
      <c r="M518" s="82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</row>
    <row r="519" spans="1:35" ht="13.5" customHeight="1">
      <c r="A519" s="55"/>
      <c r="B519" s="55"/>
      <c r="C519" s="55"/>
      <c r="D519" s="55"/>
      <c r="E519" s="70"/>
      <c r="F519" s="55"/>
      <c r="G519" s="17"/>
      <c r="H519" s="17"/>
      <c r="I519" s="55"/>
      <c r="J519" s="55"/>
      <c r="K519" s="55"/>
      <c r="L519" s="55"/>
      <c r="M519" s="82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</row>
    <row r="520" spans="1:35" ht="13.5" customHeight="1">
      <c r="A520" s="55"/>
      <c r="B520" s="55"/>
      <c r="C520" s="55"/>
      <c r="D520" s="55"/>
      <c r="E520" s="70"/>
      <c r="F520" s="55"/>
      <c r="G520" s="17"/>
      <c r="H520" s="17"/>
      <c r="I520" s="55"/>
      <c r="J520" s="55"/>
      <c r="K520" s="55"/>
      <c r="L520" s="55"/>
      <c r="M520" s="82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</row>
    <row r="521" spans="1:35" ht="13.5" customHeight="1">
      <c r="A521" s="55"/>
      <c r="B521" s="55"/>
      <c r="C521" s="55"/>
      <c r="D521" s="55"/>
      <c r="E521" s="70"/>
      <c r="F521" s="55"/>
      <c r="G521" s="17"/>
      <c r="H521" s="17"/>
      <c r="I521" s="55"/>
      <c r="J521" s="55"/>
      <c r="K521" s="55"/>
      <c r="L521" s="55"/>
      <c r="M521" s="82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</row>
    <row r="522" spans="1:35" ht="13.5" customHeight="1">
      <c r="A522" s="55"/>
      <c r="B522" s="55"/>
      <c r="C522" s="55"/>
      <c r="D522" s="55"/>
      <c r="E522" s="70"/>
      <c r="F522" s="55"/>
      <c r="G522" s="17"/>
      <c r="H522" s="17"/>
      <c r="I522" s="55"/>
      <c r="J522" s="55"/>
      <c r="K522" s="55"/>
      <c r="L522" s="55"/>
      <c r="M522" s="82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</row>
    <row r="523" spans="1:35" ht="13.5" customHeight="1">
      <c r="A523" s="55"/>
      <c r="B523" s="55"/>
      <c r="C523" s="55"/>
      <c r="D523" s="55"/>
      <c r="E523" s="70"/>
      <c r="F523" s="55"/>
      <c r="G523" s="17"/>
      <c r="H523" s="17"/>
      <c r="I523" s="55"/>
      <c r="J523" s="55"/>
      <c r="K523" s="55"/>
      <c r="L523" s="55"/>
      <c r="M523" s="82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</row>
    <row r="524" spans="1:35" ht="13.5" customHeight="1">
      <c r="A524" s="55"/>
      <c r="B524" s="55"/>
      <c r="C524" s="55"/>
      <c r="D524" s="55"/>
      <c r="E524" s="70"/>
      <c r="F524" s="55"/>
      <c r="G524" s="17"/>
      <c r="H524" s="17"/>
      <c r="I524" s="55"/>
      <c r="J524" s="55"/>
      <c r="K524" s="55"/>
      <c r="L524" s="55"/>
      <c r="M524" s="82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</row>
    <row r="525" spans="1:35" ht="13.5" customHeight="1">
      <c r="A525" s="55"/>
      <c r="B525" s="55"/>
      <c r="C525" s="55"/>
      <c r="D525" s="55"/>
      <c r="E525" s="70"/>
      <c r="F525" s="55"/>
      <c r="G525" s="17"/>
      <c r="H525" s="17"/>
      <c r="I525" s="55"/>
      <c r="J525" s="55"/>
      <c r="K525" s="55"/>
      <c r="L525" s="55"/>
      <c r="M525" s="82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</row>
    <row r="526" spans="1:35" ht="13.5" customHeight="1">
      <c r="A526" s="55"/>
      <c r="B526" s="55"/>
      <c r="C526" s="55"/>
      <c r="D526" s="55"/>
      <c r="E526" s="70"/>
      <c r="F526" s="55"/>
      <c r="G526" s="17"/>
      <c r="H526" s="17"/>
      <c r="I526" s="55"/>
      <c r="J526" s="55"/>
      <c r="K526" s="55"/>
      <c r="L526" s="55"/>
      <c r="M526" s="82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</row>
    <row r="527" spans="1:35" ht="13.5" customHeight="1">
      <c r="A527" s="55"/>
      <c r="B527" s="55"/>
      <c r="C527" s="55"/>
      <c r="D527" s="55"/>
      <c r="E527" s="70"/>
      <c r="F527" s="55"/>
      <c r="G527" s="17"/>
      <c r="H527" s="17"/>
      <c r="I527" s="55"/>
      <c r="J527" s="55"/>
      <c r="K527" s="55"/>
      <c r="L527" s="55"/>
      <c r="M527" s="82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</row>
    <row r="528" spans="1:35" ht="13.5" customHeight="1">
      <c r="A528" s="55"/>
      <c r="B528" s="55"/>
      <c r="C528" s="55"/>
      <c r="D528" s="55"/>
      <c r="E528" s="70"/>
      <c r="F528" s="55"/>
      <c r="G528" s="17"/>
      <c r="H528" s="17"/>
      <c r="I528" s="55"/>
      <c r="J528" s="55"/>
      <c r="K528" s="55"/>
      <c r="L528" s="55"/>
      <c r="M528" s="82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</row>
    <row r="529" spans="1:35" ht="13.5" customHeight="1">
      <c r="A529" s="55"/>
      <c r="B529" s="55"/>
      <c r="C529" s="55"/>
      <c r="D529" s="55"/>
      <c r="E529" s="70"/>
      <c r="F529" s="55"/>
      <c r="G529" s="17"/>
      <c r="H529" s="17"/>
      <c r="I529" s="55"/>
      <c r="J529" s="55"/>
      <c r="K529" s="55"/>
      <c r="L529" s="55"/>
      <c r="M529" s="82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</row>
    <row r="530" spans="1:35" ht="13.5" customHeight="1">
      <c r="A530" s="55"/>
      <c r="B530" s="55"/>
      <c r="C530" s="55"/>
      <c r="D530" s="55"/>
      <c r="E530" s="70"/>
      <c r="F530" s="55"/>
      <c r="G530" s="17"/>
      <c r="H530" s="17"/>
      <c r="I530" s="55"/>
      <c r="J530" s="55"/>
      <c r="K530" s="55"/>
      <c r="L530" s="55"/>
      <c r="M530" s="82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</row>
    <row r="531" spans="1:35" ht="13.5" customHeight="1">
      <c r="A531" s="55"/>
      <c r="B531" s="55"/>
      <c r="C531" s="55"/>
      <c r="D531" s="55"/>
      <c r="E531" s="70"/>
      <c r="F531" s="55"/>
      <c r="G531" s="17"/>
      <c r="H531" s="17"/>
      <c r="I531" s="55"/>
      <c r="J531" s="55"/>
      <c r="K531" s="55"/>
      <c r="L531" s="55"/>
      <c r="M531" s="82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</row>
    <row r="532" spans="1:35" ht="13.5" customHeight="1">
      <c r="A532" s="55"/>
      <c r="B532" s="55"/>
      <c r="C532" s="55"/>
      <c r="D532" s="55"/>
      <c r="E532" s="70"/>
      <c r="F532" s="55"/>
      <c r="G532" s="17"/>
      <c r="H532" s="17"/>
      <c r="I532" s="55"/>
      <c r="J532" s="55"/>
      <c r="K532" s="55"/>
      <c r="L532" s="55"/>
      <c r="M532" s="82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</row>
    <row r="533" spans="1:35" ht="13.5" customHeight="1">
      <c r="A533" s="55"/>
      <c r="B533" s="55"/>
      <c r="C533" s="55"/>
      <c r="D533" s="55"/>
      <c r="E533" s="70"/>
      <c r="F533" s="55"/>
      <c r="G533" s="17"/>
      <c r="H533" s="17"/>
      <c r="I533" s="55"/>
      <c r="J533" s="55"/>
      <c r="K533" s="55"/>
      <c r="L533" s="55"/>
      <c r="M533" s="82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</row>
    <row r="534" spans="1:35" ht="13.5" customHeight="1">
      <c r="A534" s="55"/>
      <c r="B534" s="55"/>
      <c r="C534" s="55"/>
      <c r="D534" s="55"/>
      <c r="E534" s="70"/>
      <c r="F534" s="55"/>
      <c r="G534" s="17"/>
      <c r="H534" s="17"/>
      <c r="I534" s="55"/>
      <c r="J534" s="55"/>
      <c r="K534" s="55"/>
      <c r="L534" s="55"/>
      <c r="M534" s="82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</row>
    <row r="535" spans="1:35" ht="13.5" customHeight="1">
      <c r="A535" s="55"/>
      <c r="B535" s="55"/>
      <c r="C535" s="55"/>
      <c r="D535" s="55"/>
      <c r="E535" s="70"/>
      <c r="F535" s="55"/>
      <c r="G535" s="17"/>
      <c r="H535" s="17"/>
      <c r="I535" s="55"/>
      <c r="J535" s="55"/>
      <c r="K535" s="55"/>
      <c r="L535" s="55"/>
      <c r="M535" s="82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</row>
    <row r="536" spans="1:35" ht="13.5" customHeight="1">
      <c r="A536" s="55"/>
      <c r="B536" s="55"/>
      <c r="C536" s="55"/>
      <c r="D536" s="55"/>
      <c r="E536" s="70"/>
      <c r="F536" s="55"/>
      <c r="G536" s="17"/>
      <c r="H536" s="17"/>
      <c r="I536" s="55"/>
      <c r="J536" s="55"/>
      <c r="K536" s="55"/>
      <c r="L536" s="55"/>
      <c r="M536" s="82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</row>
    <row r="537" spans="1:35" ht="13.5" customHeight="1">
      <c r="A537" s="55"/>
      <c r="B537" s="55"/>
      <c r="C537" s="55"/>
      <c r="D537" s="55"/>
      <c r="E537" s="70"/>
      <c r="F537" s="55"/>
      <c r="G537" s="17"/>
      <c r="H537" s="17"/>
      <c r="I537" s="55"/>
      <c r="J537" s="55"/>
      <c r="K537" s="55"/>
      <c r="L537" s="55"/>
      <c r="M537" s="82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</row>
    <row r="538" spans="1:35" ht="13.5" customHeight="1">
      <c r="A538" s="55"/>
      <c r="B538" s="55"/>
      <c r="C538" s="55"/>
      <c r="D538" s="55"/>
      <c r="E538" s="70"/>
      <c r="F538" s="55"/>
      <c r="G538" s="17"/>
      <c r="H538" s="17"/>
      <c r="I538" s="55"/>
      <c r="J538" s="55"/>
      <c r="K538" s="55"/>
      <c r="L538" s="55"/>
      <c r="M538" s="82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</row>
    <row r="539" spans="1:35" ht="13.5" customHeight="1">
      <c r="A539" s="55"/>
      <c r="B539" s="55"/>
      <c r="C539" s="55"/>
      <c r="D539" s="55"/>
      <c r="E539" s="70"/>
      <c r="F539" s="55"/>
      <c r="G539" s="17"/>
      <c r="H539" s="17"/>
      <c r="I539" s="55"/>
      <c r="J539" s="55"/>
      <c r="K539" s="55"/>
      <c r="L539" s="55"/>
      <c r="M539" s="82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</row>
    <row r="540" spans="1:35" ht="13.5" customHeight="1">
      <c r="A540" s="55"/>
      <c r="B540" s="55"/>
      <c r="C540" s="55"/>
      <c r="D540" s="55"/>
      <c r="E540" s="70"/>
      <c r="F540" s="55"/>
      <c r="G540" s="17"/>
      <c r="H540" s="17"/>
      <c r="I540" s="55"/>
      <c r="J540" s="55"/>
      <c r="K540" s="55"/>
      <c r="L540" s="55"/>
      <c r="M540" s="82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</row>
    <row r="541" spans="1:35" ht="13.5" customHeight="1">
      <c r="A541" s="55"/>
      <c r="B541" s="55"/>
      <c r="C541" s="55"/>
      <c r="D541" s="55"/>
      <c r="E541" s="70"/>
      <c r="F541" s="55"/>
      <c r="G541" s="17"/>
      <c r="H541" s="17"/>
      <c r="I541" s="55"/>
      <c r="J541" s="55"/>
      <c r="K541" s="55"/>
      <c r="L541" s="55"/>
      <c r="M541" s="82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</row>
    <row r="542" spans="1:35" ht="13.5" customHeight="1">
      <c r="A542" s="55"/>
      <c r="B542" s="55"/>
      <c r="C542" s="55"/>
      <c r="D542" s="55"/>
      <c r="E542" s="70"/>
      <c r="F542" s="55"/>
      <c r="G542" s="17"/>
      <c r="H542" s="17"/>
      <c r="I542" s="55"/>
      <c r="J542" s="55"/>
      <c r="K542" s="55"/>
      <c r="L542" s="55"/>
      <c r="M542" s="82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</row>
    <row r="543" spans="1:35" ht="13.5" customHeight="1">
      <c r="A543" s="55"/>
      <c r="B543" s="55"/>
      <c r="C543" s="55"/>
      <c r="D543" s="55"/>
      <c r="E543" s="70"/>
      <c r="F543" s="55"/>
      <c r="G543" s="17"/>
      <c r="H543" s="17"/>
      <c r="I543" s="55"/>
      <c r="J543" s="55"/>
      <c r="K543" s="55"/>
      <c r="L543" s="55"/>
      <c r="M543" s="82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</row>
    <row r="544" spans="1:35" ht="13.5" customHeight="1">
      <c r="A544" s="55"/>
      <c r="B544" s="55"/>
      <c r="C544" s="55"/>
      <c r="D544" s="55"/>
      <c r="E544" s="70"/>
      <c r="F544" s="55"/>
      <c r="G544" s="17"/>
      <c r="H544" s="17"/>
      <c r="I544" s="55"/>
      <c r="J544" s="55"/>
      <c r="K544" s="55"/>
      <c r="L544" s="55"/>
      <c r="M544" s="82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</row>
    <row r="545" spans="1:35" ht="13.5" customHeight="1">
      <c r="A545" s="55"/>
      <c r="B545" s="55"/>
      <c r="C545" s="55"/>
      <c r="D545" s="55"/>
      <c r="E545" s="70"/>
      <c r="F545" s="55"/>
      <c r="G545" s="17"/>
      <c r="H545" s="17"/>
      <c r="I545" s="55"/>
      <c r="J545" s="55"/>
      <c r="K545" s="55"/>
      <c r="L545" s="55"/>
      <c r="M545" s="82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</row>
    <row r="546" spans="1:35" ht="13.5" customHeight="1">
      <c r="A546" s="55"/>
      <c r="B546" s="55"/>
      <c r="C546" s="55"/>
      <c r="D546" s="55"/>
      <c r="E546" s="70"/>
      <c r="F546" s="55"/>
      <c r="G546" s="17"/>
      <c r="H546" s="17"/>
      <c r="I546" s="55"/>
      <c r="J546" s="55"/>
      <c r="K546" s="55"/>
      <c r="L546" s="55"/>
      <c r="M546" s="82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</row>
    <row r="547" spans="1:35" ht="13.5" customHeight="1">
      <c r="A547" s="55"/>
      <c r="B547" s="55"/>
      <c r="C547" s="55"/>
      <c r="D547" s="55"/>
      <c r="E547" s="70"/>
      <c r="F547" s="55"/>
      <c r="G547" s="17"/>
      <c r="H547" s="17"/>
      <c r="I547" s="55"/>
      <c r="J547" s="55"/>
      <c r="K547" s="55"/>
      <c r="L547" s="55"/>
      <c r="M547" s="82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</row>
    <row r="548" spans="1:35" ht="13.5" customHeight="1">
      <c r="A548" s="55"/>
      <c r="B548" s="55"/>
      <c r="C548" s="55"/>
      <c r="D548" s="55"/>
      <c r="E548" s="70"/>
      <c r="F548" s="55"/>
      <c r="G548" s="17"/>
      <c r="H548" s="17"/>
      <c r="I548" s="55"/>
      <c r="J548" s="55"/>
      <c r="K548" s="55"/>
      <c r="L548" s="55"/>
      <c r="M548" s="82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</row>
    <row r="549" spans="1:35" ht="13.5" customHeight="1">
      <c r="A549" s="55"/>
      <c r="B549" s="55"/>
      <c r="C549" s="55"/>
      <c r="D549" s="55"/>
      <c r="E549" s="70"/>
      <c r="F549" s="55"/>
      <c r="G549" s="17"/>
      <c r="H549" s="17"/>
      <c r="I549" s="55"/>
      <c r="J549" s="55"/>
      <c r="K549" s="55"/>
      <c r="L549" s="55"/>
      <c r="M549" s="82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</row>
    <row r="550" spans="1:35" ht="13.5" customHeight="1">
      <c r="A550" s="55"/>
      <c r="B550" s="55"/>
      <c r="C550" s="55"/>
      <c r="D550" s="55"/>
      <c r="E550" s="70"/>
      <c r="F550" s="55"/>
      <c r="G550" s="17"/>
      <c r="H550" s="17"/>
      <c r="I550" s="55"/>
      <c r="J550" s="55"/>
      <c r="K550" s="55"/>
      <c r="L550" s="55"/>
      <c r="M550" s="82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</row>
    <row r="551" spans="1:35" ht="13.5" customHeight="1">
      <c r="A551" s="55"/>
      <c r="B551" s="55"/>
      <c r="C551" s="55"/>
      <c r="D551" s="55"/>
      <c r="E551" s="70"/>
      <c r="F551" s="55"/>
      <c r="G551" s="17"/>
      <c r="H551" s="17"/>
      <c r="I551" s="55"/>
      <c r="J551" s="55"/>
      <c r="K551" s="55"/>
      <c r="L551" s="55"/>
      <c r="M551" s="82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</row>
    <row r="552" spans="1:35" ht="13.5" customHeight="1">
      <c r="A552" s="55"/>
      <c r="B552" s="55"/>
      <c r="C552" s="55"/>
      <c r="D552" s="55"/>
      <c r="E552" s="70"/>
      <c r="F552" s="55"/>
      <c r="G552" s="17"/>
      <c r="H552" s="17"/>
      <c r="I552" s="55"/>
      <c r="J552" s="55"/>
      <c r="K552" s="55"/>
      <c r="L552" s="55"/>
      <c r="M552" s="82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</row>
    <row r="553" spans="1:35" ht="13.5" customHeight="1">
      <c r="A553" s="55"/>
      <c r="B553" s="55"/>
      <c r="C553" s="55"/>
      <c r="D553" s="55"/>
      <c r="E553" s="70"/>
      <c r="F553" s="55"/>
      <c r="G553" s="17"/>
      <c r="H553" s="17"/>
      <c r="I553" s="55"/>
      <c r="J553" s="55"/>
      <c r="K553" s="55"/>
      <c r="L553" s="55"/>
      <c r="M553" s="82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</row>
    <row r="554" spans="1:35" ht="13.5" customHeight="1">
      <c r="A554" s="55"/>
      <c r="B554" s="55"/>
      <c r="C554" s="55"/>
      <c r="D554" s="55"/>
      <c r="E554" s="70"/>
      <c r="F554" s="55"/>
      <c r="G554" s="17"/>
      <c r="H554" s="17"/>
      <c r="I554" s="55"/>
      <c r="J554" s="55"/>
      <c r="K554" s="55"/>
      <c r="L554" s="55"/>
      <c r="M554" s="82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</row>
    <row r="555" spans="1:35" ht="13.5" customHeight="1">
      <c r="A555" s="55"/>
      <c r="B555" s="55"/>
      <c r="C555" s="55"/>
      <c r="D555" s="55"/>
      <c r="E555" s="70"/>
      <c r="F555" s="55"/>
      <c r="G555" s="17"/>
      <c r="H555" s="17"/>
      <c r="I555" s="55"/>
      <c r="J555" s="55"/>
      <c r="K555" s="55"/>
      <c r="L555" s="55"/>
      <c r="M555" s="82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</row>
    <row r="556" spans="1:35" ht="13.5" customHeight="1">
      <c r="A556" s="55"/>
      <c r="B556" s="55"/>
      <c r="C556" s="55"/>
      <c r="D556" s="55"/>
      <c r="E556" s="70"/>
      <c r="F556" s="55"/>
      <c r="G556" s="17"/>
      <c r="H556" s="17"/>
      <c r="I556" s="55"/>
      <c r="J556" s="55"/>
      <c r="K556" s="55"/>
      <c r="L556" s="55"/>
      <c r="M556" s="82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</row>
    <row r="557" spans="1:35" ht="13.5" customHeight="1">
      <c r="A557" s="55"/>
      <c r="B557" s="55"/>
      <c r="C557" s="55"/>
      <c r="D557" s="55"/>
      <c r="E557" s="70"/>
      <c r="F557" s="55"/>
      <c r="G557" s="17"/>
      <c r="H557" s="17"/>
      <c r="I557" s="55"/>
      <c r="J557" s="55"/>
      <c r="K557" s="55"/>
      <c r="L557" s="55"/>
      <c r="M557" s="82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</row>
    <row r="558" spans="1:35" ht="13.5" customHeight="1">
      <c r="A558" s="55"/>
      <c r="B558" s="55"/>
      <c r="C558" s="55"/>
      <c r="D558" s="55"/>
      <c r="E558" s="70"/>
      <c r="F558" s="55"/>
      <c r="G558" s="17"/>
      <c r="H558" s="17"/>
      <c r="I558" s="55"/>
      <c r="J558" s="55"/>
      <c r="K558" s="55"/>
      <c r="L558" s="55"/>
      <c r="M558" s="82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</row>
    <row r="559" spans="1:35" ht="13.5" customHeight="1">
      <c r="A559" s="55"/>
      <c r="B559" s="55"/>
      <c r="C559" s="55"/>
      <c r="D559" s="55"/>
      <c r="E559" s="70"/>
      <c r="F559" s="55"/>
      <c r="G559" s="17"/>
      <c r="H559" s="17"/>
      <c r="I559" s="55"/>
      <c r="J559" s="55"/>
      <c r="K559" s="55"/>
      <c r="L559" s="55"/>
      <c r="M559" s="82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</row>
    <row r="560" spans="1:35" ht="13.5" customHeight="1">
      <c r="A560" s="55"/>
      <c r="B560" s="55"/>
      <c r="C560" s="55"/>
      <c r="D560" s="55"/>
      <c r="E560" s="70"/>
      <c r="F560" s="55"/>
      <c r="G560" s="17"/>
      <c r="H560" s="17"/>
      <c r="I560" s="55"/>
      <c r="J560" s="55"/>
      <c r="K560" s="55"/>
      <c r="L560" s="55"/>
      <c r="M560" s="82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</row>
    <row r="561" spans="1:35" ht="13.5" customHeight="1">
      <c r="A561" s="55"/>
      <c r="B561" s="55"/>
      <c r="C561" s="55"/>
      <c r="D561" s="55"/>
      <c r="E561" s="70"/>
      <c r="F561" s="55"/>
      <c r="G561" s="17"/>
      <c r="H561" s="17"/>
      <c r="I561" s="55"/>
      <c r="J561" s="55"/>
      <c r="K561" s="55"/>
      <c r="L561" s="55"/>
      <c r="M561" s="82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</row>
    <row r="562" spans="1:35" ht="13.5" customHeight="1">
      <c r="A562" s="55"/>
      <c r="B562" s="55"/>
      <c r="C562" s="55"/>
      <c r="D562" s="55"/>
      <c r="E562" s="70"/>
      <c r="F562" s="55"/>
      <c r="G562" s="17"/>
      <c r="H562" s="17"/>
      <c r="I562" s="55"/>
      <c r="J562" s="55"/>
      <c r="K562" s="55"/>
      <c r="L562" s="55"/>
      <c r="M562" s="82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</row>
    <row r="563" spans="1:35" ht="13.5" customHeight="1">
      <c r="A563" s="55"/>
      <c r="B563" s="55"/>
      <c r="C563" s="55"/>
      <c r="D563" s="55"/>
      <c r="E563" s="70"/>
      <c r="F563" s="55"/>
      <c r="G563" s="17"/>
      <c r="H563" s="17"/>
      <c r="I563" s="55"/>
      <c r="J563" s="55"/>
      <c r="K563" s="55"/>
      <c r="L563" s="55"/>
      <c r="M563" s="82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</row>
    <row r="564" spans="1:35" ht="13.5" customHeight="1">
      <c r="A564" s="55"/>
      <c r="B564" s="55"/>
      <c r="C564" s="55"/>
      <c r="D564" s="55"/>
      <c r="E564" s="70"/>
      <c r="F564" s="55"/>
      <c r="G564" s="17"/>
      <c r="H564" s="17"/>
      <c r="I564" s="55"/>
      <c r="J564" s="55"/>
      <c r="K564" s="55"/>
      <c r="L564" s="55"/>
      <c r="M564" s="82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</row>
    <row r="565" spans="1:35" ht="13.5" customHeight="1">
      <c r="A565" s="55"/>
      <c r="B565" s="55"/>
      <c r="C565" s="55"/>
      <c r="D565" s="55"/>
      <c r="E565" s="70"/>
      <c r="F565" s="55"/>
      <c r="G565" s="17"/>
      <c r="H565" s="17"/>
      <c r="I565" s="55"/>
      <c r="J565" s="55"/>
      <c r="K565" s="55"/>
      <c r="L565" s="55"/>
      <c r="M565" s="82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</row>
    <row r="566" spans="1:35" ht="13.5" customHeight="1">
      <c r="A566" s="55"/>
      <c r="B566" s="55"/>
      <c r="C566" s="55"/>
      <c r="D566" s="55"/>
      <c r="E566" s="70"/>
      <c r="F566" s="55"/>
      <c r="G566" s="17"/>
      <c r="H566" s="17"/>
      <c r="I566" s="55"/>
      <c r="J566" s="55"/>
      <c r="K566" s="55"/>
      <c r="L566" s="55"/>
      <c r="M566" s="82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</row>
    <row r="567" spans="1:35" ht="13.5" customHeight="1">
      <c r="A567" s="55"/>
      <c r="B567" s="55"/>
      <c r="C567" s="55"/>
      <c r="D567" s="55"/>
      <c r="E567" s="70"/>
      <c r="F567" s="55"/>
      <c r="G567" s="17"/>
      <c r="H567" s="17"/>
      <c r="I567" s="55"/>
      <c r="J567" s="55"/>
      <c r="K567" s="55"/>
      <c r="L567" s="55"/>
      <c r="M567" s="82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</row>
    <row r="568" spans="1:35" ht="13.5" customHeight="1">
      <c r="A568" s="55"/>
      <c r="B568" s="55"/>
      <c r="C568" s="55"/>
      <c r="D568" s="55"/>
      <c r="E568" s="70"/>
      <c r="F568" s="55"/>
      <c r="G568" s="17"/>
      <c r="H568" s="17"/>
      <c r="I568" s="55"/>
      <c r="J568" s="55"/>
      <c r="K568" s="55"/>
      <c r="L568" s="55"/>
      <c r="M568" s="82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</row>
    <row r="569" spans="1:35" ht="13.5" customHeight="1">
      <c r="A569" s="55"/>
      <c r="B569" s="55"/>
      <c r="C569" s="55"/>
      <c r="D569" s="55"/>
      <c r="E569" s="70"/>
      <c r="F569" s="55"/>
      <c r="G569" s="17"/>
      <c r="H569" s="17"/>
      <c r="I569" s="55"/>
      <c r="J569" s="55"/>
      <c r="K569" s="55"/>
      <c r="L569" s="55"/>
      <c r="M569" s="82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</row>
    <row r="570" spans="1:35" ht="13.5" customHeight="1">
      <c r="A570" s="55"/>
      <c r="B570" s="55"/>
      <c r="C570" s="55"/>
      <c r="D570" s="55"/>
      <c r="E570" s="70"/>
      <c r="F570" s="55"/>
      <c r="G570" s="17"/>
      <c r="H570" s="17"/>
      <c r="I570" s="55"/>
      <c r="J570" s="55"/>
      <c r="K570" s="55"/>
      <c r="L570" s="55"/>
      <c r="M570" s="82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</row>
    <row r="571" spans="1:35" ht="13.5" customHeight="1">
      <c r="A571" s="55"/>
      <c r="B571" s="55"/>
      <c r="C571" s="55"/>
      <c r="D571" s="55"/>
      <c r="E571" s="70"/>
      <c r="F571" s="55"/>
      <c r="G571" s="17"/>
      <c r="H571" s="17"/>
      <c r="I571" s="55"/>
      <c r="J571" s="55"/>
      <c r="K571" s="55"/>
      <c r="L571" s="55"/>
      <c r="M571" s="82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</row>
    <row r="572" spans="1:35" ht="13.5" customHeight="1">
      <c r="A572" s="55"/>
      <c r="B572" s="55"/>
      <c r="C572" s="55"/>
      <c r="D572" s="55"/>
      <c r="E572" s="70"/>
      <c r="F572" s="55"/>
      <c r="G572" s="17"/>
      <c r="H572" s="17"/>
      <c r="I572" s="55"/>
      <c r="J572" s="55"/>
      <c r="K572" s="55"/>
      <c r="L572" s="55"/>
      <c r="M572" s="82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</row>
    <row r="573" spans="1:35" ht="13.5" customHeight="1">
      <c r="A573" s="55"/>
      <c r="B573" s="55"/>
      <c r="C573" s="55"/>
      <c r="D573" s="55"/>
      <c r="E573" s="70"/>
      <c r="F573" s="55"/>
      <c r="G573" s="17"/>
      <c r="H573" s="17"/>
      <c r="I573" s="55"/>
      <c r="J573" s="55"/>
      <c r="K573" s="55"/>
      <c r="L573" s="55"/>
      <c r="M573" s="82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</row>
    <row r="574" spans="1:35" ht="13.5" customHeight="1">
      <c r="A574" s="55"/>
      <c r="B574" s="55"/>
      <c r="C574" s="55"/>
      <c r="D574" s="55"/>
      <c r="E574" s="70"/>
      <c r="F574" s="55"/>
      <c r="G574" s="17"/>
      <c r="H574" s="17"/>
      <c r="I574" s="55"/>
      <c r="J574" s="55"/>
      <c r="K574" s="55"/>
      <c r="L574" s="55"/>
      <c r="M574" s="82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</row>
    <row r="575" spans="1:35" ht="13.5" customHeight="1">
      <c r="A575" s="55"/>
      <c r="B575" s="55"/>
      <c r="C575" s="55"/>
      <c r="D575" s="55"/>
      <c r="E575" s="70"/>
      <c r="F575" s="55"/>
      <c r="G575" s="17"/>
      <c r="H575" s="17"/>
      <c r="I575" s="55"/>
      <c r="J575" s="55"/>
      <c r="K575" s="55"/>
      <c r="L575" s="55"/>
      <c r="M575" s="82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</row>
    <row r="576" spans="1:35" ht="13.5" customHeight="1">
      <c r="A576" s="55"/>
      <c r="B576" s="55"/>
      <c r="C576" s="55"/>
      <c r="D576" s="55"/>
      <c r="E576" s="70"/>
      <c r="F576" s="55"/>
      <c r="G576" s="17"/>
      <c r="H576" s="17"/>
      <c r="I576" s="55"/>
      <c r="J576" s="55"/>
      <c r="K576" s="55"/>
      <c r="L576" s="55"/>
      <c r="M576" s="82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</row>
    <row r="577" spans="1:35" ht="13.5" customHeight="1">
      <c r="A577" s="55"/>
      <c r="B577" s="55"/>
      <c r="C577" s="55"/>
      <c r="D577" s="55"/>
      <c r="E577" s="70"/>
      <c r="F577" s="55"/>
      <c r="G577" s="17"/>
      <c r="H577" s="17"/>
      <c r="I577" s="55"/>
      <c r="J577" s="55"/>
      <c r="K577" s="55"/>
      <c r="L577" s="55"/>
      <c r="M577" s="82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</row>
    <row r="578" spans="1:35" ht="13.5" customHeight="1">
      <c r="A578" s="55"/>
      <c r="B578" s="55"/>
      <c r="C578" s="55"/>
      <c r="D578" s="55"/>
      <c r="E578" s="70"/>
      <c r="F578" s="55"/>
      <c r="G578" s="17"/>
      <c r="H578" s="17"/>
      <c r="I578" s="55"/>
      <c r="J578" s="55"/>
      <c r="K578" s="55"/>
      <c r="L578" s="55"/>
      <c r="M578" s="82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</row>
    <row r="579" spans="1:35" ht="13.5" customHeight="1">
      <c r="A579" s="55"/>
      <c r="B579" s="55"/>
      <c r="C579" s="55"/>
      <c r="D579" s="55"/>
      <c r="E579" s="70"/>
      <c r="F579" s="55"/>
      <c r="G579" s="17"/>
      <c r="H579" s="17"/>
      <c r="I579" s="55"/>
      <c r="J579" s="55"/>
      <c r="K579" s="55"/>
      <c r="L579" s="55"/>
      <c r="M579" s="82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</row>
    <row r="580" spans="1:35" ht="13.5" customHeight="1">
      <c r="A580" s="55"/>
      <c r="B580" s="55"/>
      <c r="C580" s="55"/>
      <c r="D580" s="55"/>
      <c r="E580" s="70"/>
      <c r="F580" s="55"/>
      <c r="G580" s="17"/>
      <c r="H580" s="17"/>
      <c r="I580" s="55"/>
      <c r="J580" s="55"/>
      <c r="K580" s="55"/>
      <c r="L580" s="55"/>
      <c r="M580" s="82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</row>
    <row r="581" spans="1:35" ht="13.5" customHeight="1">
      <c r="A581" s="55"/>
      <c r="B581" s="55"/>
      <c r="C581" s="55"/>
      <c r="D581" s="55"/>
      <c r="E581" s="70"/>
      <c r="F581" s="55"/>
      <c r="G581" s="17"/>
      <c r="H581" s="17"/>
      <c r="I581" s="55"/>
      <c r="J581" s="55"/>
      <c r="K581" s="55"/>
      <c r="L581" s="55"/>
      <c r="M581" s="82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</row>
    <row r="582" spans="1:35" ht="13.5" customHeight="1">
      <c r="A582" s="55"/>
      <c r="B582" s="55"/>
      <c r="C582" s="55"/>
      <c r="D582" s="55"/>
      <c r="E582" s="70"/>
      <c r="F582" s="55"/>
      <c r="G582" s="17"/>
      <c r="H582" s="17"/>
      <c r="I582" s="55"/>
      <c r="J582" s="55"/>
      <c r="K582" s="55"/>
      <c r="L582" s="55"/>
      <c r="M582" s="82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</row>
    <row r="583" spans="1:35" ht="13.5" customHeight="1">
      <c r="A583" s="55"/>
      <c r="B583" s="55"/>
      <c r="C583" s="55"/>
      <c r="D583" s="55"/>
      <c r="E583" s="70"/>
      <c r="F583" s="55"/>
      <c r="G583" s="17"/>
      <c r="H583" s="17"/>
      <c r="I583" s="55"/>
      <c r="J583" s="55"/>
      <c r="K583" s="55"/>
      <c r="L583" s="55"/>
      <c r="M583" s="82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</row>
    <row r="584" spans="1:35" ht="13.5" customHeight="1">
      <c r="A584" s="55"/>
      <c r="B584" s="55"/>
      <c r="C584" s="55"/>
      <c r="D584" s="55"/>
      <c r="E584" s="70"/>
      <c r="F584" s="55"/>
      <c r="G584" s="17"/>
      <c r="H584" s="17"/>
      <c r="I584" s="55"/>
      <c r="J584" s="55"/>
      <c r="K584" s="55"/>
      <c r="L584" s="55"/>
      <c r="M584" s="82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</row>
    <row r="585" spans="1:35" ht="13.5" customHeight="1">
      <c r="A585" s="55"/>
      <c r="B585" s="55"/>
      <c r="C585" s="55"/>
      <c r="D585" s="55"/>
      <c r="E585" s="70"/>
      <c r="F585" s="55"/>
      <c r="G585" s="17"/>
      <c r="H585" s="17"/>
      <c r="I585" s="55"/>
      <c r="J585" s="55"/>
      <c r="K585" s="55"/>
      <c r="L585" s="55"/>
      <c r="M585" s="82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</row>
    <row r="586" spans="1:35" ht="13.5" customHeight="1">
      <c r="A586" s="55"/>
      <c r="B586" s="55"/>
      <c r="C586" s="55"/>
      <c r="D586" s="55"/>
      <c r="E586" s="70"/>
      <c r="F586" s="55"/>
      <c r="G586" s="17"/>
      <c r="H586" s="17"/>
      <c r="I586" s="55"/>
      <c r="J586" s="55"/>
      <c r="K586" s="55"/>
      <c r="L586" s="55"/>
      <c r="M586" s="82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</row>
    <row r="587" spans="1:35" ht="13.5" customHeight="1">
      <c r="A587" s="55"/>
      <c r="B587" s="55"/>
      <c r="C587" s="55"/>
      <c r="D587" s="55"/>
      <c r="E587" s="70"/>
      <c r="F587" s="55"/>
      <c r="G587" s="17"/>
      <c r="H587" s="17"/>
      <c r="I587" s="55"/>
      <c r="J587" s="55"/>
      <c r="K587" s="55"/>
      <c r="L587" s="55"/>
      <c r="M587" s="82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</row>
    <row r="588" spans="1:35" ht="13.5" customHeight="1">
      <c r="A588" s="55"/>
      <c r="B588" s="55"/>
      <c r="C588" s="55"/>
      <c r="D588" s="55"/>
      <c r="E588" s="70"/>
      <c r="F588" s="55"/>
      <c r="G588" s="17"/>
      <c r="H588" s="17"/>
      <c r="I588" s="55"/>
      <c r="J588" s="55"/>
      <c r="K588" s="55"/>
      <c r="L588" s="55"/>
      <c r="M588" s="82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</row>
    <row r="589" spans="1:35" ht="13.5" customHeight="1">
      <c r="A589" s="55"/>
      <c r="B589" s="55"/>
      <c r="C589" s="55"/>
      <c r="D589" s="55"/>
      <c r="E589" s="70"/>
      <c r="F589" s="55"/>
      <c r="G589" s="17"/>
      <c r="H589" s="17"/>
      <c r="I589" s="55"/>
      <c r="J589" s="55"/>
      <c r="K589" s="55"/>
      <c r="L589" s="55"/>
      <c r="M589" s="82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</row>
    <row r="590" spans="1:35" ht="13.5" customHeight="1">
      <c r="A590" s="55"/>
      <c r="B590" s="55"/>
      <c r="C590" s="55"/>
      <c r="D590" s="55"/>
      <c r="E590" s="70"/>
      <c r="F590" s="55"/>
      <c r="G590" s="17"/>
      <c r="H590" s="17"/>
      <c r="I590" s="55"/>
      <c r="J590" s="55"/>
      <c r="K590" s="55"/>
      <c r="L590" s="55"/>
      <c r="M590" s="82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</row>
    <row r="591" spans="1:35" ht="13.5" customHeight="1">
      <c r="A591" s="55"/>
      <c r="B591" s="55"/>
      <c r="C591" s="55"/>
      <c r="D591" s="55"/>
      <c r="E591" s="70"/>
      <c r="F591" s="55"/>
      <c r="G591" s="17"/>
      <c r="H591" s="17"/>
      <c r="I591" s="55"/>
      <c r="J591" s="55"/>
      <c r="K591" s="55"/>
      <c r="L591" s="55"/>
      <c r="M591" s="82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</row>
    <row r="592" spans="1:35" ht="13.5" customHeight="1">
      <c r="A592" s="55"/>
      <c r="B592" s="55"/>
      <c r="C592" s="55"/>
      <c r="D592" s="55"/>
      <c r="E592" s="70"/>
      <c r="F592" s="55"/>
      <c r="G592" s="17"/>
      <c r="H592" s="17"/>
      <c r="I592" s="55"/>
      <c r="J592" s="55"/>
      <c r="K592" s="55"/>
      <c r="L592" s="55"/>
      <c r="M592" s="82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</row>
    <row r="593" spans="1:35" ht="13.5" customHeight="1">
      <c r="A593" s="55"/>
      <c r="B593" s="55"/>
      <c r="C593" s="55"/>
      <c r="D593" s="55"/>
      <c r="E593" s="70"/>
      <c r="F593" s="55"/>
      <c r="G593" s="17"/>
      <c r="H593" s="17"/>
      <c r="I593" s="55"/>
      <c r="J593" s="55"/>
      <c r="K593" s="55"/>
      <c r="L593" s="55"/>
      <c r="M593" s="82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</row>
    <row r="594" spans="1:35" ht="13.5" customHeight="1">
      <c r="A594" s="55"/>
      <c r="B594" s="55"/>
      <c r="C594" s="55"/>
      <c r="D594" s="55"/>
      <c r="E594" s="70"/>
      <c r="F594" s="55"/>
      <c r="G594" s="17"/>
      <c r="H594" s="17"/>
      <c r="I594" s="55"/>
      <c r="J594" s="55"/>
      <c r="K594" s="55"/>
      <c r="L594" s="55"/>
      <c r="M594" s="82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</row>
    <row r="595" spans="1:35" ht="13.5" customHeight="1">
      <c r="A595" s="55"/>
      <c r="B595" s="55"/>
      <c r="C595" s="55"/>
      <c r="D595" s="55"/>
      <c r="E595" s="70"/>
      <c r="F595" s="55"/>
      <c r="G595" s="17"/>
      <c r="H595" s="17"/>
      <c r="I595" s="55"/>
      <c r="J595" s="55"/>
      <c r="K595" s="55"/>
      <c r="L595" s="55"/>
      <c r="M595" s="82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</row>
    <row r="596" spans="1:35" ht="13.5" customHeight="1">
      <c r="A596" s="55"/>
      <c r="B596" s="55"/>
      <c r="C596" s="55"/>
      <c r="D596" s="55"/>
      <c r="E596" s="70"/>
      <c r="F596" s="55"/>
      <c r="G596" s="17"/>
      <c r="H596" s="17"/>
      <c r="I596" s="55"/>
      <c r="J596" s="55"/>
      <c r="K596" s="55"/>
      <c r="L596" s="55"/>
      <c r="M596" s="82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</row>
    <row r="597" spans="1:35" ht="13.5" customHeight="1">
      <c r="A597" s="55"/>
      <c r="B597" s="55"/>
      <c r="C597" s="55"/>
      <c r="D597" s="55"/>
      <c r="E597" s="70"/>
      <c r="F597" s="55"/>
      <c r="G597" s="17"/>
      <c r="H597" s="17"/>
      <c r="I597" s="55"/>
      <c r="J597" s="55"/>
      <c r="K597" s="55"/>
      <c r="L597" s="55"/>
      <c r="M597" s="82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</row>
    <row r="598" spans="1:35" ht="13.5" customHeight="1">
      <c r="A598" s="55"/>
      <c r="B598" s="55"/>
      <c r="C598" s="55"/>
      <c r="D598" s="55"/>
      <c r="E598" s="70"/>
      <c r="F598" s="55"/>
      <c r="G598" s="17"/>
      <c r="H598" s="17"/>
      <c r="I598" s="55"/>
      <c r="J598" s="55"/>
      <c r="K598" s="55"/>
      <c r="L598" s="55"/>
      <c r="M598" s="82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</row>
    <row r="599" spans="1:35" ht="13.5" customHeight="1">
      <c r="A599" s="55"/>
      <c r="B599" s="55"/>
      <c r="C599" s="55"/>
      <c r="D599" s="55"/>
      <c r="E599" s="70"/>
      <c r="F599" s="55"/>
      <c r="G599" s="17"/>
      <c r="H599" s="17"/>
      <c r="I599" s="55"/>
      <c r="J599" s="55"/>
      <c r="K599" s="55"/>
      <c r="L599" s="55"/>
      <c r="M599" s="82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</row>
    <row r="600" spans="1:35" ht="13.5" customHeight="1">
      <c r="A600" s="55"/>
      <c r="B600" s="55"/>
      <c r="C600" s="55"/>
      <c r="D600" s="55"/>
      <c r="E600" s="70"/>
      <c r="F600" s="55"/>
      <c r="G600" s="17"/>
      <c r="H600" s="17"/>
      <c r="I600" s="55"/>
      <c r="J600" s="55"/>
      <c r="K600" s="55"/>
      <c r="L600" s="55"/>
      <c r="M600" s="82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</row>
    <row r="601" spans="1:35" ht="13.5" customHeight="1">
      <c r="A601" s="55"/>
      <c r="B601" s="55"/>
      <c r="C601" s="55"/>
      <c r="D601" s="55"/>
      <c r="E601" s="70"/>
      <c r="F601" s="55"/>
      <c r="G601" s="17"/>
      <c r="H601" s="17"/>
      <c r="I601" s="55"/>
      <c r="J601" s="55"/>
      <c r="K601" s="55"/>
      <c r="L601" s="55"/>
      <c r="M601" s="82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</row>
    <row r="602" spans="1:35" ht="13.5" customHeight="1">
      <c r="A602" s="55"/>
      <c r="B602" s="55"/>
      <c r="C602" s="55"/>
      <c r="D602" s="55"/>
      <c r="E602" s="70"/>
      <c r="F602" s="55"/>
      <c r="G602" s="17"/>
      <c r="H602" s="17"/>
      <c r="I602" s="55"/>
      <c r="J602" s="55"/>
      <c r="K602" s="55"/>
      <c r="L602" s="55"/>
      <c r="M602" s="82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</row>
    <row r="603" spans="1:35" ht="13.5" customHeight="1">
      <c r="A603" s="55"/>
      <c r="B603" s="55"/>
      <c r="C603" s="55"/>
      <c r="D603" s="55"/>
      <c r="E603" s="70"/>
      <c r="F603" s="55"/>
      <c r="G603" s="17"/>
      <c r="H603" s="17"/>
      <c r="I603" s="55"/>
      <c r="J603" s="55"/>
      <c r="K603" s="55"/>
      <c r="L603" s="55"/>
      <c r="M603" s="82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</row>
    <row r="604" spans="1:35" ht="13.5" customHeight="1">
      <c r="A604" s="55"/>
      <c r="B604" s="55"/>
      <c r="C604" s="55"/>
      <c r="D604" s="55"/>
      <c r="E604" s="70"/>
      <c r="F604" s="55"/>
      <c r="G604" s="17"/>
      <c r="H604" s="17"/>
      <c r="I604" s="55"/>
      <c r="J604" s="55"/>
      <c r="K604" s="55"/>
      <c r="L604" s="55"/>
      <c r="M604" s="82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</row>
    <row r="605" spans="1:35" ht="13.5" customHeight="1">
      <c r="A605" s="55"/>
      <c r="B605" s="55"/>
      <c r="C605" s="55"/>
      <c r="D605" s="55"/>
      <c r="E605" s="70"/>
      <c r="F605" s="55"/>
      <c r="G605" s="17"/>
      <c r="H605" s="17"/>
      <c r="I605" s="55"/>
      <c r="J605" s="55"/>
      <c r="K605" s="55"/>
      <c r="L605" s="55"/>
      <c r="M605" s="82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</row>
    <row r="606" spans="1:35" ht="13.5" customHeight="1">
      <c r="A606" s="55"/>
      <c r="B606" s="55"/>
      <c r="C606" s="55"/>
      <c r="D606" s="55"/>
      <c r="E606" s="70"/>
      <c r="F606" s="55"/>
      <c r="G606" s="17"/>
      <c r="H606" s="17"/>
      <c r="I606" s="55"/>
      <c r="J606" s="55"/>
      <c r="K606" s="55"/>
      <c r="L606" s="55"/>
      <c r="M606" s="82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</row>
    <row r="607" spans="1:35" ht="13.5" customHeight="1">
      <c r="A607" s="55"/>
      <c r="B607" s="55"/>
      <c r="C607" s="55"/>
      <c r="D607" s="55"/>
      <c r="E607" s="70"/>
      <c r="F607" s="55"/>
      <c r="G607" s="17"/>
      <c r="H607" s="17"/>
      <c r="I607" s="55"/>
      <c r="J607" s="55"/>
      <c r="K607" s="55"/>
      <c r="L607" s="55"/>
      <c r="M607" s="82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</row>
    <row r="608" spans="1:35" ht="13.5" customHeight="1">
      <c r="A608" s="55"/>
      <c r="B608" s="55"/>
      <c r="C608" s="55"/>
      <c r="D608" s="55"/>
      <c r="E608" s="70"/>
      <c r="F608" s="55"/>
      <c r="G608" s="17"/>
      <c r="H608" s="17"/>
      <c r="I608" s="55"/>
      <c r="J608" s="55"/>
      <c r="K608" s="55"/>
      <c r="L608" s="55"/>
      <c r="M608" s="82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</row>
    <row r="609" spans="1:35" ht="13.5" customHeight="1">
      <c r="A609" s="55"/>
      <c r="B609" s="55"/>
      <c r="C609" s="55"/>
      <c r="D609" s="55"/>
      <c r="E609" s="70"/>
      <c r="F609" s="55"/>
      <c r="G609" s="17"/>
      <c r="H609" s="17"/>
      <c r="I609" s="55"/>
      <c r="J609" s="55"/>
      <c r="K609" s="55"/>
      <c r="L609" s="55"/>
      <c r="M609" s="82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</row>
    <row r="610" spans="1:35" ht="13.5" customHeight="1">
      <c r="A610" s="55"/>
      <c r="B610" s="55"/>
      <c r="C610" s="55"/>
      <c r="D610" s="55"/>
      <c r="E610" s="70"/>
      <c r="F610" s="55"/>
      <c r="G610" s="17"/>
      <c r="H610" s="17"/>
      <c r="I610" s="55"/>
      <c r="J610" s="55"/>
      <c r="K610" s="55"/>
      <c r="L610" s="55"/>
      <c r="M610" s="82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</row>
    <row r="611" spans="1:35" ht="13.5" customHeight="1">
      <c r="A611" s="55"/>
      <c r="B611" s="55"/>
      <c r="C611" s="55"/>
      <c r="D611" s="55"/>
      <c r="E611" s="70"/>
      <c r="F611" s="55"/>
      <c r="G611" s="17"/>
      <c r="H611" s="17"/>
      <c r="I611" s="55"/>
      <c r="J611" s="55"/>
      <c r="K611" s="55"/>
      <c r="L611" s="55"/>
      <c r="M611" s="82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</row>
    <row r="612" spans="1:35" ht="13.5" customHeight="1">
      <c r="A612" s="55"/>
      <c r="B612" s="55"/>
      <c r="C612" s="55"/>
      <c r="D612" s="55"/>
      <c r="E612" s="70"/>
      <c r="F612" s="55"/>
      <c r="G612" s="17"/>
      <c r="H612" s="17"/>
      <c r="I612" s="55"/>
      <c r="J612" s="55"/>
      <c r="K612" s="55"/>
      <c r="L612" s="55"/>
      <c r="M612" s="82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</row>
    <row r="613" spans="1:35" ht="13.5" customHeight="1">
      <c r="A613" s="55"/>
      <c r="B613" s="55"/>
      <c r="C613" s="55"/>
      <c r="D613" s="55"/>
      <c r="E613" s="70"/>
      <c r="F613" s="55"/>
      <c r="G613" s="17"/>
      <c r="H613" s="17"/>
      <c r="I613" s="55"/>
      <c r="J613" s="55"/>
      <c r="K613" s="55"/>
      <c r="L613" s="55"/>
      <c r="M613" s="82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</row>
    <row r="614" spans="1:35" ht="13.5" customHeight="1">
      <c r="A614" s="55"/>
      <c r="B614" s="55"/>
      <c r="C614" s="55"/>
      <c r="D614" s="55"/>
      <c r="E614" s="70"/>
      <c r="F614" s="55"/>
      <c r="G614" s="17"/>
      <c r="H614" s="17"/>
      <c r="I614" s="55"/>
      <c r="J614" s="55"/>
      <c r="K614" s="55"/>
      <c r="L614" s="55"/>
      <c r="M614" s="82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</row>
    <row r="615" spans="1:35" ht="13.5" customHeight="1">
      <c r="A615" s="55"/>
      <c r="B615" s="55"/>
      <c r="C615" s="55"/>
      <c r="D615" s="55"/>
      <c r="E615" s="70"/>
      <c r="F615" s="55"/>
      <c r="G615" s="17"/>
      <c r="H615" s="17"/>
      <c r="I615" s="55"/>
      <c r="J615" s="55"/>
      <c r="K615" s="55"/>
      <c r="L615" s="55"/>
      <c r="M615" s="82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</row>
    <row r="616" spans="1:35" ht="13.5" customHeight="1">
      <c r="A616" s="55"/>
      <c r="B616" s="55"/>
      <c r="C616" s="55"/>
      <c r="D616" s="55"/>
      <c r="E616" s="70"/>
      <c r="F616" s="55"/>
      <c r="G616" s="17"/>
      <c r="H616" s="17"/>
      <c r="I616" s="55"/>
      <c r="J616" s="55"/>
      <c r="K616" s="55"/>
      <c r="L616" s="55"/>
      <c r="M616" s="82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</row>
    <row r="617" spans="1:35" ht="13.5" customHeight="1">
      <c r="A617" s="55"/>
      <c r="B617" s="55"/>
      <c r="C617" s="55"/>
      <c r="D617" s="55"/>
      <c r="E617" s="70"/>
      <c r="F617" s="55"/>
      <c r="G617" s="17"/>
      <c r="H617" s="17"/>
      <c r="I617" s="55"/>
      <c r="J617" s="55"/>
      <c r="K617" s="55"/>
      <c r="L617" s="55"/>
      <c r="M617" s="82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</row>
    <row r="618" spans="1:35" ht="13.5" customHeight="1">
      <c r="A618" s="55"/>
      <c r="B618" s="55"/>
      <c r="C618" s="55"/>
      <c r="D618" s="55"/>
      <c r="E618" s="70"/>
      <c r="F618" s="55"/>
      <c r="G618" s="17"/>
      <c r="H618" s="17"/>
      <c r="I618" s="55"/>
      <c r="J618" s="55"/>
      <c r="K618" s="55"/>
      <c r="L618" s="55"/>
      <c r="M618" s="82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</row>
    <row r="619" spans="1:35" ht="13.5" customHeight="1">
      <c r="A619" s="55"/>
      <c r="B619" s="55"/>
      <c r="C619" s="55"/>
      <c r="D619" s="55"/>
      <c r="E619" s="70"/>
      <c r="F619" s="55"/>
      <c r="G619" s="17"/>
      <c r="H619" s="17"/>
      <c r="I619" s="55"/>
      <c r="J619" s="55"/>
      <c r="K619" s="55"/>
      <c r="L619" s="55"/>
      <c r="M619" s="82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</row>
    <row r="620" spans="1:35" ht="13.5" customHeight="1">
      <c r="A620" s="55"/>
      <c r="B620" s="55"/>
      <c r="C620" s="55"/>
      <c r="D620" s="55"/>
      <c r="E620" s="70"/>
      <c r="F620" s="55"/>
      <c r="G620" s="17"/>
      <c r="H620" s="17"/>
      <c r="I620" s="55"/>
      <c r="J620" s="55"/>
      <c r="K620" s="55"/>
      <c r="L620" s="55"/>
      <c r="M620" s="82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</row>
    <row r="621" spans="1:35" ht="13.5" customHeight="1">
      <c r="A621" s="55"/>
      <c r="B621" s="55"/>
      <c r="C621" s="55"/>
      <c r="D621" s="55"/>
      <c r="E621" s="70"/>
      <c r="F621" s="55"/>
      <c r="G621" s="17"/>
      <c r="H621" s="17"/>
      <c r="I621" s="55"/>
      <c r="J621" s="55"/>
      <c r="K621" s="55"/>
      <c r="L621" s="55"/>
      <c r="M621" s="82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</row>
    <row r="622" spans="1:35" ht="13.5" customHeight="1">
      <c r="A622" s="55"/>
      <c r="B622" s="55"/>
      <c r="C622" s="55"/>
      <c r="D622" s="55"/>
      <c r="E622" s="70"/>
      <c r="F622" s="55"/>
      <c r="G622" s="17"/>
      <c r="H622" s="17"/>
      <c r="I622" s="55"/>
      <c r="J622" s="55"/>
      <c r="K622" s="55"/>
      <c r="L622" s="55"/>
      <c r="M622" s="82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</row>
    <row r="623" spans="1:35" ht="13.5" customHeight="1">
      <c r="A623" s="55"/>
      <c r="B623" s="55"/>
      <c r="C623" s="55"/>
      <c r="D623" s="55"/>
      <c r="E623" s="70"/>
      <c r="F623" s="55"/>
      <c r="G623" s="17"/>
      <c r="H623" s="17"/>
      <c r="I623" s="55"/>
      <c r="J623" s="55"/>
      <c r="K623" s="55"/>
      <c r="L623" s="55"/>
      <c r="M623" s="82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</row>
    <row r="624" spans="1:35" ht="13.5" customHeight="1">
      <c r="A624" s="55"/>
      <c r="B624" s="55"/>
      <c r="C624" s="55"/>
      <c r="D624" s="55"/>
      <c r="E624" s="70"/>
      <c r="F624" s="55"/>
      <c r="G624" s="17"/>
      <c r="H624" s="17"/>
      <c r="I624" s="55"/>
      <c r="J624" s="55"/>
      <c r="K624" s="55"/>
      <c r="L624" s="55"/>
      <c r="M624" s="82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</row>
    <row r="625" spans="1:35" ht="13.5" customHeight="1">
      <c r="A625" s="55"/>
      <c r="B625" s="55"/>
      <c r="C625" s="55"/>
      <c r="D625" s="55"/>
      <c r="E625" s="70"/>
      <c r="F625" s="55"/>
      <c r="G625" s="17"/>
      <c r="H625" s="17"/>
      <c r="I625" s="55"/>
      <c r="J625" s="55"/>
      <c r="K625" s="55"/>
      <c r="L625" s="55"/>
      <c r="M625" s="82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</row>
    <row r="626" spans="1:35" ht="13.5" customHeight="1">
      <c r="A626" s="55"/>
      <c r="B626" s="55"/>
      <c r="C626" s="55"/>
      <c r="D626" s="55"/>
      <c r="E626" s="70"/>
      <c r="F626" s="55"/>
      <c r="G626" s="17"/>
      <c r="H626" s="17"/>
      <c r="I626" s="55"/>
      <c r="J626" s="55"/>
      <c r="K626" s="55"/>
      <c r="L626" s="55"/>
      <c r="M626" s="82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</row>
    <row r="627" spans="1:35" ht="13.5" customHeight="1">
      <c r="A627" s="55"/>
      <c r="B627" s="55"/>
      <c r="C627" s="55"/>
      <c r="D627" s="55"/>
      <c r="E627" s="70"/>
      <c r="F627" s="55"/>
      <c r="G627" s="17"/>
      <c r="H627" s="17"/>
      <c r="I627" s="55"/>
      <c r="J627" s="55"/>
      <c r="K627" s="55"/>
      <c r="L627" s="55"/>
      <c r="M627" s="82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</row>
    <row r="628" spans="1:35" ht="13.5" customHeight="1">
      <c r="A628" s="55"/>
      <c r="B628" s="55"/>
      <c r="C628" s="55"/>
      <c r="D628" s="55"/>
      <c r="E628" s="70"/>
      <c r="F628" s="55"/>
      <c r="G628" s="17"/>
      <c r="H628" s="17"/>
      <c r="I628" s="55"/>
      <c r="J628" s="55"/>
      <c r="K628" s="55"/>
      <c r="L628" s="55"/>
      <c r="M628" s="82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</row>
    <row r="629" spans="1:35" ht="13.5" customHeight="1">
      <c r="A629" s="55"/>
      <c r="B629" s="55"/>
      <c r="C629" s="55"/>
      <c r="D629" s="55"/>
      <c r="E629" s="70"/>
      <c r="F629" s="55"/>
      <c r="G629" s="17"/>
      <c r="H629" s="17"/>
      <c r="I629" s="55"/>
      <c r="J629" s="55"/>
      <c r="K629" s="55"/>
      <c r="L629" s="55"/>
      <c r="M629" s="82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</row>
    <row r="630" spans="1:35" ht="13.5" customHeight="1">
      <c r="A630" s="55"/>
      <c r="B630" s="55"/>
      <c r="C630" s="55"/>
      <c r="D630" s="55"/>
      <c r="E630" s="70"/>
      <c r="F630" s="55"/>
      <c r="G630" s="17"/>
      <c r="H630" s="17"/>
      <c r="I630" s="55"/>
      <c r="J630" s="55"/>
      <c r="K630" s="55"/>
      <c r="L630" s="55"/>
      <c r="M630" s="82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</row>
    <row r="631" spans="1:35" ht="13.5" customHeight="1">
      <c r="A631" s="55"/>
      <c r="B631" s="55"/>
      <c r="C631" s="55"/>
      <c r="D631" s="55"/>
      <c r="E631" s="70"/>
      <c r="F631" s="55"/>
      <c r="G631" s="17"/>
      <c r="H631" s="17"/>
      <c r="I631" s="55"/>
      <c r="J631" s="55"/>
      <c r="K631" s="55"/>
      <c r="L631" s="55"/>
      <c r="M631" s="82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</row>
    <row r="632" spans="1:35" ht="13.5" customHeight="1">
      <c r="A632" s="55"/>
      <c r="B632" s="55"/>
      <c r="C632" s="55"/>
      <c r="D632" s="55"/>
      <c r="E632" s="70"/>
      <c r="F632" s="55"/>
      <c r="G632" s="17"/>
      <c r="H632" s="17"/>
      <c r="I632" s="55"/>
      <c r="J632" s="55"/>
      <c r="K632" s="55"/>
      <c r="L632" s="55"/>
      <c r="M632" s="82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</row>
    <row r="633" spans="1:35" ht="13.5" customHeight="1">
      <c r="A633" s="55"/>
      <c r="B633" s="55"/>
      <c r="C633" s="55"/>
      <c r="D633" s="55"/>
      <c r="E633" s="70"/>
      <c r="F633" s="55"/>
      <c r="G633" s="17"/>
      <c r="H633" s="17"/>
      <c r="I633" s="55"/>
      <c r="J633" s="55"/>
      <c r="K633" s="55"/>
      <c r="L633" s="55"/>
      <c r="M633" s="82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</row>
    <row r="634" spans="1:35" ht="13.5" customHeight="1">
      <c r="A634" s="55"/>
      <c r="B634" s="55"/>
      <c r="C634" s="55"/>
      <c r="D634" s="55"/>
      <c r="E634" s="70"/>
      <c r="F634" s="55"/>
      <c r="G634" s="17"/>
      <c r="H634" s="17"/>
      <c r="I634" s="55"/>
      <c r="J634" s="55"/>
      <c r="K634" s="55"/>
      <c r="L634" s="55"/>
      <c r="M634" s="82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</row>
    <row r="635" spans="1:35" ht="13.5" customHeight="1">
      <c r="A635" s="55"/>
      <c r="B635" s="55"/>
      <c r="C635" s="55"/>
      <c r="D635" s="55"/>
      <c r="E635" s="70"/>
      <c r="F635" s="55"/>
      <c r="G635" s="17"/>
      <c r="H635" s="17"/>
      <c r="I635" s="55"/>
      <c r="J635" s="55"/>
      <c r="K635" s="55"/>
      <c r="L635" s="55"/>
      <c r="M635" s="82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</row>
    <row r="636" spans="1:35" ht="13.5" customHeight="1">
      <c r="A636" s="55"/>
      <c r="B636" s="55"/>
      <c r="C636" s="55"/>
      <c r="D636" s="55"/>
      <c r="E636" s="70"/>
      <c r="F636" s="55"/>
      <c r="G636" s="17"/>
      <c r="H636" s="17"/>
      <c r="I636" s="55"/>
      <c r="J636" s="55"/>
      <c r="K636" s="55"/>
      <c r="L636" s="55"/>
      <c r="M636" s="82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</row>
    <row r="637" spans="1:35" ht="13.5" customHeight="1">
      <c r="A637" s="55"/>
      <c r="B637" s="55"/>
      <c r="C637" s="55"/>
      <c r="D637" s="55"/>
      <c r="E637" s="70"/>
      <c r="F637" s="55"/>
      <c r="G637" s="17"/>
      <c r="H637" s="17"/>
      <c r="I637" s="55"/>
      <c r="J637" s="55"/>
      <c r="K637" s="55"/>
      <c r="L637" s="55"/>
      <c r="M637" s="82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</row>
    <row r="638" spans="1:35" ht="13.5" customHeight="1">
      <c r="A638" s="55"/>
      <c r="B638" s="55"/>
      <c r="C638" s="55"/>
      <c r="D638" s="55"/>
      <c r="E638" s="70"/>
      <c r="F638" s="55"/>
      <c r="G638" s="17"/>
      <c r="H638" s="17"/>
      <c r="I638" s="55"/>
      <c r="J638" s="55"/>
      <c r="K638" s="55"/>
      <c r="L638" s="55"/>
      <c r="M638" s="82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</row>
    <row r="639" spans="1:35" ht="13.5" customHeight="1">
      <c r="A639" s="55"/>
      <c r="B639" s="55"/>
      <c r="C639" s="55"/>
      <c r="D639" s="55"/>
      <c r="E639" s="70"/>
      <c r="F639" s="55"/>
      <c r="G639" s="17"/>
      <c r="H639" s="17"/>
      <c r="I639" s="55"/>
      <c r="J639" s="55"/>
      <c r="K639" s="55"/>
      <c r="L639" s="55"/>
      <c r="M639" s="82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</row>
    <row r="640" spans="1:35" ht="13.5" customHeight="1">
      <c r="A640" s="55"/>
      <c r="B640" s="55"/>
      <c r="C640" s="55"/>
      <c r="D640" s="55"/>
      <c r="E640" s="70"/>
      <c r="F640" s="55"/>
      <c r="G640" s="17"/>
      <c r="H640" s="17"/>
      <c r="I640" s="55"/>
      <c r="J640" s="55"/>
      <c r="K640" s="55"/>
      <c r="L640" s="55"/>
      <c r="M640" s="82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</row>
    <row r="641" spans="1:35" ht="13.5" customHeight="1">
      <c r="A641" s="55"/>
      <c r="B641" s="55"/>
      <c r="C641" s="55"/>
      <c r="D641" s="55"/>
      <c r="E641" s="70"/>
      <c r="F641" s="55"/>
      <c r="G641" s="17"/>
      <c r="H641" s="17"/>
      <c r="I641" s="55"/>
      <c r="J641" s="55"/>
      <c r="K641" s="55"/>
      <c r="L641" s="55"/>
      <c r="M641" s="82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</row>
    <row r="642" spans="1:35" ht="13.5" customHeight="1">
      <c r="A642" s="55"/>
      <c r="B642" s="55"/>
      <c r="C642" s="55"/>
      <c r="D642" s="55"/>
      <c r="E642" s="70"/>
      <c r="F642" s="55"/>
      <c r="G642" s="17"/>
      <c r="H642" s="17"/>
      <c r="I642" s="55"/>
      <c r="J642" s="55"/>
      <c r="K642" s="55"/>
      <c r="L642" s="55"/>
      <c r="M642" s="82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</row>
    <row r="643" spans="1:35" ht="13.5" customHeight="1">
      <c r="A643" s="55"/>
      <c r="B643" s="55"/>
      <c r="C643" s="55"/>
      <c r="D643" s="55"/>
      <c r="E643" s="70"/>
      <c r="F643" s="55"/>
      <c r="G643" s="17"/>
      <c r="H643" s="17"/>
      <c r="I643" s="55"/>
      <c r="J643" s="55"/>
      <c r="K643" s="55"/>
      <c r="L643" s="55"/>
      <c r="M643" s="82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</row>
    <row r="644" spans="1:35" ht="13.5" customHeight="1">
      <c r="A644" s="55"/>
      <c r="B644" s="55"/>
      <c r="C644" s="55"/>
      <c r="D644" s="55"/>
      <c r="E644" s="70"/>
      <c r="F644" s="55"/>
      <c r="G644" s="17"/>
      <c r="H644" s="17"/>
      <c r="I644" s="55"/>
      <c r="J644" s="55"/>
      <c r="K644" s="55"/>
      <c r="L644" s="55"/>
      <c r="M644" s="82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</row>
    <row r="645" spans="1:35" ht="13.5" customHeight="1">
      <c r="A645" s="55"/>
      <c r="B645" s="55"/>
      <c r="C645" s="55"/>
      <c r="D645" s="55"/>
      <c r="E645" s="70"/>
      <c r="F645" s="55"/>
      <c r="G645" s="17"/>
      <c r="H645" s="17"/>
      <c r="I645" s="55"/>
      <c r="J645" s="55"/>
      <c r="K645" s="55"/>
      <c r="L645" s="55"/>
      <c r="M645" s="82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</row>
    <row r="646" spans="1:35" ht="13.5" customHeight="1">
      <c r="A646" s="55"/>
      <c r="B646" s="55"/>
      <c r="C646" s="55"/>
      <c r="D646" s="55"/>
      <c r="E646" s="70"/>
      <c r="F646" s="55"/>
      <c r="G646" s="17"/>
      <c r="H646" s="17"/>
      <c r="I646" s="55"/>
      <c r="J646" s="55"/>
      <c r="K646" s="55"/>
      <c r="L646" s="55"/>
      <c r="M646" s="82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</row>
    <row r="647" spans="1:35" ht="13.5" customHeight="1">
      <c r="A647" s="55"/>
      <c r="B647" s="55"/>
      <c r="C647" s="55"/>
      <c r="D647" s="55"/>
      <c r="E647" s="70"/>
      <c r="F647" s="55"/>
      <c r="G647" s="17"/>
      <c r="H647" s="17"/>
      <c r="I647" s="55"/>
      <c r="J647" s="55"/>
      <c r="K647" s="55"/>
      <c r="L647" s="55"/>
      <c r="M647" s="82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</row>
    <row r="648" spans="1:35" ht="13.5" customHeight="1">
      <c r="A648" s="55"/>
      <c r="B648" s="55"/>
      <c r="C648" s="55"/>
      <c r="D648" s="55"/>
      <c r="E648" s="70"/>
      <c r="F648" s="55"/>
      <c r="G648" s="17"/>
      <c r="H648" s="17"/>
      <c r="I648" s="55"/>
      <c r="J648" s="55"/>
      <c r="K648" s="55"/>
      <c r="L648" s="55"/>
      <c r="M648" s="82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</row>
    <row r="649" spans="1:35" ht="13.5" customHeight="1">
      <c r="A649" s="55"/>
      <c r="B649" s="55"/>
      <c r="C649" s="55"/>
      <c r="D649" s="55"/>
      <c r="E649" s="70"/>
      <c r="F649" s="55"/>
      <c r="G649" s="17"/>
      <c r="H649" s="17"/>
      <c r="I649" s="55"/>
      <c r="J649" s="55"/>
      <c r="K649" s="55"/>
      <c r="L649" s="55"/>
      <c r="M649" s="82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</row>
    <row r="650" spans="1:35" ht="13.5" customHeight="1">
      <c r="A650" s="55"/>
      <c r="B650" s="55"/>
      <c r="C650" s="55"/>
      <c r="D650" s="55"/>
      <c r="E650" s="70"/>
      <c r="F650" s="55"/>
      <c r="G650" s="17"/>
      <c r="H650" s="17"/>
      <c r="I650" s="55"/>
      <c r="J650" s="55"/>
      <c r="K650" s="55"/>
      <c r="L650" s="55"/>
      <c r="M650" s="82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</row>
    <row r="651" spans="1:35" ht="13.5" customHeight="1">
      <c r="A651" s="55"/>
      <c r="B651" s="55"/>
      <c r="C651" s="55"/>
      <c r="D651" s="55"/>
      <c r="E651" s="70"/>
      <c r="F651" s="55"/>
      <c r="G651" s="17"/>
      <c r="H651" s="17"/>
      <c r="I651" s="55"/>
      <c r="J651" s="55"/>
      <c r="K651" s="55"/>
      <c r="L651" s="55"/>
      <c r="M651" s="82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</row>
    <row r="652" spans="1:35" ht="13.5" customHeight="1">
      <c r="A652" s="55"/>
      <c r="B652" s="55"/>
      <c r="C652" s="55"/>
      <c r="D652" s="55"/>
      <c r="E652" s="70"/>
      <c r="F652" s="55"/>
      <c r="G652" s="17"/>
      <c r="H652" s="17"/>
      <c r="I652" s="55"/>
      <c r="J652" s="55"/>
      <c r="K652" s="55"/>
      <c r="L652" s="55"/>
      <c r="M652" s="82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</row>
    <row r="653" spans="1:35" ht="13.5" customHeight="1">
      <c r="A653" s="55"/>
      <c r="B653" s="55"/>
      <c r="C653" s="55"/>
      <c r="D653" s="55"/>
      <c r="E653" s="70"/>
      <c r="F653" s="55"/>
      <c r="G653" s="17"/>
      <c r="H653" s="17"/>
      <c r="I653" s="55"/>
      <c r="J653" s="55"/>
      <c r="K653" s="55"/>
      <c r="L653" s="55"/>
      <c r="M653" s="82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</row>
    <row r="654" spans="1:35" ht="13.5" customHeight="1">
      <c r="A654" s="55"/>
      <c r="B654" s="55"/>
      <c r="C654" s="55"/>
      <c r="D654" s="55"/>
      <c r="E654" s="70"/>
      <c r="F654" s="55"/>
      <c r="G654" s="17"/>
      <c r="H654" s="17"/>
      <c r="I654" s="55"/>
      <c r="J654" s="55"/>
      <c r="K654" s="55"/>
      <c r="L654" s="55"/>
      <c r="M654" s="82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</row>
    <row r="655" spans="1:35" ht="13.5" customHeight="1">
      <c r="A655" s="55"/>
      <c r="B655" s="55"/>
      <c r="C655" s="55"/>
      <c r="D655" s="55"/>
      <c r="E655" s="70"/>
      <c r="F655" s="55"/>
      <c r="G655" s="17"/>
      <c r="H655" s="17"/>
      <c r="I655" s="55"/>
      <c r="J655" s="55"/>
      <c r="K655" s="55"/>
      <c r="L655" s="55"/>
      <c r="M655" s="82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</row>
    <row r="656" spans="1:35" ht="13.5" customHeight="1">
      <c r="A656" s="55"/>
      <c r="B656" s="55"/>
      <c r="C656" s="55"/>
      <c r="D656" s="55"/>
      <c r="E656" s="70"/>
      <c r="F656" s="55"/>
      <c r="G656" s="17"/>
      <c r="H656" s="17"/>
      <c r="I656" s="55"/>
      <c r="J656" s="55"/>
      <c r="K656" s="55"/>
      <c r="L656" s="55"/>
      <c r="M656" s="82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</row>
    <row r="657" spans="1:35" ht="13.5" customHeight="1">
      <c r="A657" s="55"/>
      <c r="B657" s="55"/>
      <c r="C657" s="55"/>
      <c r="D657" s="55"/>
      <c r="E657" s="70"/>
      <c r="F657" s="55"/>
      <c r="G657" s="17"/>
      <c r="H657" s="17"/>
      <c r="I657" s="55"/>
      <c r="J657" s="55"/>
      <c r="K657" s="55"/>
      <c r="L657" s="55"/>
      <c r="M657" s="82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</row>
    <row r="658" spans="1:35" ht="13.5" customHeight="1">
      <c r="A658" s="55"/>
      <c r="B658" s="55"/>
      <c r="C658" s="55"/>
      <c r="D658" s="55"/>
      <c r="E658" s="70"/>
      <c r="F658" s="55"/>
      <c r="G658" s="17"/>
      <c r="H658" s="17"/>
      <c r="I658" s="55"/>
      <c r="J658" s="55"/>
      <c r="K658" s="55"/>
      <c r="L658" s="55"/>
      <c r="M658" s="82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</row>
    <row r="659" spans="1:35" ht="13.5" customHeight="1">
      <c r="A659" s="55"/>
      <c r="B659" s="55"/>
      <c r="C659" s="55"/>
      <c r="D659" s="55"/>
      <c r="E659" s="70"/>
      <c r="F659" s="55"/>
      <c r="G659" s="17"/>
      <c r="H659" s="17"/>
      <c r="I659" s="55"/>
      <c r="J659" s="55"/>
      <c r="K659" s="55"/>
      <c r="L659" s="55"/>
      <c r="M659" s="82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</row>
    <row r="660" spans="1:35" ht="13.5" customHeight="1">
      <c r="A660" s="55"/>
      <c r="B660" s="55"/>
      <c r="C660" s="55"/>
      <c r="D660" s="55"/>
      <c r="E660" s="70"/>
      <c r="F660" s="55"/>
      <c r="G660" s="17"/>
      <c r="H660" s="17"/>
      <c r="I660" s="55"/>
      <c r="J660" s="55"/>
      <c r="K660" s="55"/>
      <c r="L660" s="55"/>
      <c r="M660" s="82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</row>
    <row r="661" spans="1:35" ht="13.5" customHeight="1">
      <c r="A661" s="55"/>
      <c r="B661" s="55"/>
      <c r="C661" s="55"/>
      <c r="D661" s="55"/>
      <c r="E661" s="70"/>
      <c r="F661" s="55"/>
      <c r="G661" s="17"/>
      <c r="H661" s="17"/>
      <c r="I661" s="55"/>
      <c r="J661" s="55"/>
      <c r="K661" s="55"/>
      <c r="L661" s="55"/>
      <c r="M661" s="82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</row>
    <row r="662" spans="1:35" ht="13.5" customHeight="1">
      <c r="A662" s="55"/>
      <c r="B662" s="55"/>
      <c r="C662" s="55"/>
      <c r="D662" s="55"/>
      <c r="E662" s="70"/>
      <c r="F662" s="55"/>
      <c r="G662" s="17"/>
      <c r="H662" s="17"/>
      <c r="I662" s="55"/>
      <c r="J662" s="55"/>
      <c r="K662" s="55"/>
      <c r="L662" s="55"/>
      <c r="M662" s="82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</row>
    <row r="663" spans="1:35" ht="13.5" customHeight="1">
      <c r="A663" s="55"/>
      <c r="B663" s="55"/>
      <c r="C663" s="55"/>
      <c r="D663" s="55"/>
      <c r="E663" s="70"/>
      <c r="F663" s="55"/>
      <c r="G663" s="17"/>
      <c r="H663" s="17"/>
      <c r="I663" s="55"/>
      <c r="J663" s="55"/>
      <c r="K663" s="55"/>
      <c r="L663" s="55"/>
      <c r="M663" s="82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</row>
    <row r="664" spans="1:35" ht="13.5" customHeight="1">
      <c r="A664" s="55"/>
      <c r="B664" s="55"/>
      <c r="C664" s="55"/>
      <c r="D664" s="55"/>
      <c r="E664" s="70"/>
      <c r="F664" s="55"/>
      <c r="G664" s="17"/>
      <c r="H664" s="17"/>
      <c r="I664" s="55"/>
      <c r="J664" s="55"/>
      <c r="K664" s="55"/>
      <c r="L664" s="55"/>
      <c r="M664" s="82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</row>
    <row r="665" spans="1:35" ht="13.5" customHeight="1">
      <c r="A665" s="55"/>
      <c r="B665" s="55"/>
      <c r="C665" s="55"/>
      <c r="D665" s="55"/>
      <c r="E665" s="70"/>
      <c r="F665" s="55"/>
      <c r="G665" s="17"/>
      <c r="H665" s="17"/>
      <c r="I665" s="55"/>
      <c r="J665" s="55"/>
      <c r="K665" s="55"/>
      <c r="L665" s="55"/>
      <c r="M665" s="82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</row>
    <row r="666" spans="1:35" ht="13.5" customHeight="1">
      <c r="A666" s="55"/>
      <c r="B666" s="55"/>
      <c r="C666" s="55"/>
      <c r="D666" s="55"/>
      <c r="E666" s="70"/>
      <c r="F666" s="55"/>
      <c r="G666" s="17"/>
      <c r="H666" s="17"/>
      <c r="I666" s="55"/>
      <c r="J666" s="55"/>
      <c r="K666" s="55"/>
      <c r="L666" s="55"/>
      <c r="M666" s="82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</row>
    <row r="667" spans="1:35" ht="13.5" customHeight="1">
      <c r="A667" s="55"/>
      <c r="B667" s="55"/>
      <c r="C667" s="55"/>
      <c r="D667" s="55"/>
      <c r="E667" s="70"/>
      <c r="F667" s="55"/>
      <c r="G667" s="17"/>
      <c r="H667" s="17"/>
      <c r="I667" s="55"/>
      <c r="J667" s="55"/>
      <c r="K667" s="55"/>
      <c r="L667" s="55"/>
      <c r="M667" s="82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</row>
    <row r="668" spans="1:35" ht="13.5" customHeight="1">
      <c r="A668" s="55"/>
      <c r="B668" s="55"/>
      <c r="C668" s="55"/>
      <c r="D668" s="55"/>
      <c r="E668" s="70"/>
      <c r="F668" s="55"/>
      <c r="G668" s="17"/>
      <c r="H668" s="17"/>
      <c r="I668" s="55"/>
      <c r="J668" s="55"/>
      <c r="K668" s="55"/>
      <c r="L668" s="55"/>
      <c r="M668" s="82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</row>
    <row r="669" spans="1:35" ht="13.5" customHeight="1">
      <c r="A669" s="55"/>
      <c r="B669" s="55"/>
      <c r="C669" s="55"/>
      <c r="D669" s="55"/>
      <c r="E669" s="70"/>
      <c r="F669" s="55"/>
      <c r="G669" s="17"/>
      <c r="H669" s="17"/>
      <c r="I669" s="55"/>
      <c r="J669" s="55"/>
      <c r="K669" s="55"/>
      <c r="L669" s="55"/>
      <c r="M669" s="82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</row>
    <row r="670" spans="1:35" ht="13.5" customHeight="1">
      <c r="A670" s="55"/>
      <c r="B670" s="55"/>
      <c r="C670" s="55"/>
      <c r="D670" s="55"/>
      <c r="E670" s="70"/>
      <c r="F670" s="55"/>
      <c r="G670" s="17"/>
      <c r="H670" s="17"/>
      <c r="I670" s="55"/>
      <c r="J670" s="55"/>
      <c r="K670" s="55"/>
      <c r="L670" s="55"/>
      <c r="M670" s="82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</row>
    <row r="671" spans="1:35" ht="13.5" customHeight="1">
      <c r="A671" s="55"/>
      <c r="B671" s="55"/>
      <c r="C671" s="55"/>
      <c r="D671" s="55"/>
      <c r="E671" s="70"/>
      <c r="F671" s="55"/>
      <c r="G671" s="17"/>
      <c r="H671" s="17"/>
      <c r="I671" s="55"/>
      <c r="J671" s="55"/>
      <c r="K671" s="55"/>
      <c r="L671" s="55"/>
      <c r="M671" s="82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</row>
    <row r="672" spans="1:35" ht="13.5" customHeight="1">
      <c r="A672" s="55"/>
      <c r="B672" s="55"/>
      <c r="C672" s="55"/>
      <c r="D672" s="55"/>
      <c r="E672" s="70"/>
      <c r="F672" s="55"/>
      <c r="G672" s="17"/>
      <c r="H672" s="17"/>
      <c r="I672" s="55"/>
      <c r="J672" s="55"/>
      <c r="K672" s="55"/>
      <c r="L672" s="55"/>
      <c r="M672" s="82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</row>
    <row r="673" spans="1:35" ht="13.5" customHeight="1">
      <c r="A673" s="55"/>
      <c r="B673" s="55"/>
      <c r="C673" s="55"/>
      <c r="D673" s="55"/>
      <c r="E673" s="70"/>
      <c r="F673" s="55"/>
      <c r="G673" s="17"/>
      <c r="H673" s="17"/>
      <c r="I673" s="55"/>
      <c r="J673" s="55"/>
      <c r="K673" s="55"/>
      <c r="L673" s="55"/>
      <c r="M673" s="82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</row>
    <row r="674" spans="1:35" ht="13.5" customHeight="1">
      <c r="A674" s="55"/>
      <c r="B674" s="55"/>
      <c r="C674" s="55"/>
      <c r="D674" s="55"/>
      <c r="E674" s="70"/>
      <c r="F674" s="55"/>
      <c r="G674" s="17"/>
      <c r="H674" s="17"/>
      <c r="I674" s="55"/>
      <c r="J674" s="55"/>
      <c r="K674" s="55"/>
      <c r="L674" s="55"/>
      <c r="M674" s="82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</row>
    <row r="675" spans="1:35" ht="13.5" customHeight="1">
      <c r="A675" s="55"/>
      <c r="B675" s="55"/>
      <c r="C675" s="55"/>
      <c r="D675" s="55"/>
      <c r="E675" s="70"/>
      <c r="F675" s="55"/>
      <c r="G675" s="17"/>
      <c r="H675" s="17"/>
      <c r="I675" s="55"/>
      <c r="J675" s="55"/>
      <c r="K675" s="55"/>
      <c r="L675" s="55"/>
      <c r="M675" s="82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</row>
    <row r="676" spans="1:35" ht="13.5" customHeight="1">
      <c r="A676" s="55"/>
      <c r="B676" s="55"/>
      <c r="C676" s="55"/>
      <c r="D676" s="55"/>
      <c r="E676" s="70"/>
      <c r="F676" s="55"/>
      <c r="G676" s="17"/>
      <c r="H676" s="17"/>
      <c r="I676" s="55"/>
      <c r="J676" s="55"/>
      <c r="K676" s="55"/>
      <c r="L676" s="55"/>
      <c r="M676" s="82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</row>
    <row r="677" spans="1:35" ht="13.5" customHeight="1">
      <c r="A677" s="55"/>
      <c r="B677" s="55"/>
      <c r="C677" s="55"/>
      <c r="D677" s="55"/>
      <c r="E677" s="70"/>
      <c r="F677" s="55"/>
      <c r="G677" s="17"/>
      <c r="H677" s="17"/>
      <c r="I677" s="55"/>
      <c r="J677" s="55"/>
      <c r="K677" s="55"/>
      <c r="L677" s="55"/>
      <c r="M677" s="82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</row>
    <row r="678" spans="1:35" ht="13.5" customHeight="1">
      <c r="A678" s="55"/>
      <c r="B678" s="55"/>
      <c r="C678" s="55"/>
      <c r="D678" s="55"/>
      <c r="E678" s="70"/>
      <c r="F678" s="55"/>
      <c r="G678" s="17"/>
      <c r="H678" s="17"/>
      <c r="I678" s="55"/>
      <c r="J678" s="55"/>
      <c r="K678" s="55"/>
      <c r="L678" s="55"/>
      <c r="M678" s="82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</row>
    <row r="679" spans="1:35" ht="13.5" customHeight="1">
      <c r="A679" s="55"/>
      <c r="B679" s="55"/>
      <c r="C679" s="55"/>
      <c r="D679" s="55"/>
      <c r="E679" s="70"/>
      <c r="F679" s="55"/>
      <c r="G679" s="17"/>
      <c r="H679" s="17"/>
      <c r="I679" s="55"/>
      <c r="J679" s="55"/>
      <c r="K679" s="55"/>
      <c r="L679" s="55"/>
      <c r="M679" s="82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</row>
    <row r="680" spans="1:35" ht="13.5" customHeight="1">
      <c r="A680" s="55"/>
      <c r="B680" s="55"/>
      <c r="C680" s="55"/>
      <c r="D680" s="55"/>
      <c r="E680" s="70"/>
      <c r="F680" s="55"/>
      <c r="G680" s="17"/>
      <c r="H680" s="17"/>
      <c r="I680" s="55"/>
      <c r="J680" s="55"/>
      <c r="K680" s="55"/>
      <c r="L680" s="55"/>
      <c r="M680" s="82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</row>
    <row r="681" spans="1:35" ht="13.5" customHeight="1">
      <c r="A681" s="55"/>
      <c r="B681" s="55"/>
      <c r="C681" s="55"/>
      <c r="D681" s="55"/>
      <c r="E681" s="70"/>
      <c r="F681" s="55"/>
      <c r="G681" s="17"/>
      <c r="H681" s="17"/>
      <c r="I681" s="55"/>
      <c r="J681" s="55"/>
      <c r="K681" s="55"/>
      <c r="L681" s="55"/>
      <c r="M681" s="82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</row>
    <row r="682" spans="1:35" ht="13.5" customHeight="1">
      <c r="A682" s="55"/>
      <c r="B682" s="55"/>
      <c r="C682" s="55"/>
      <c r="D682" s="55"/>
      <c r="E682" s="70"/>
      <c r="F682" s="55"/>
      <c r="G682" s="17"/>
      <c r="H682" s="17"/>
      <c r="I682" s="55"/>
      <c r="J682" s="55"/>
      <c r="K682" s="55"/>
      <c r="L682" s="55"/>
      <c r="M682" s="82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</row>
    <row r="683" spans="1:35" ht="13.5" customHeight="1">
      <c r="A683" s="55"/>
      <c r="B683" s="55"/>
      <c r="C683" s="55"/>
      <c r="D683" s="55"/>
      <c r="E683" s="70"/>
      <c r="F683" s="55"/>
      <c r="G683" s="17"/>
      <c r="H683" s="17"/>
      <c r="I683" s="55"/>
      <c r="J683" s="55"/>
      <c r="K683" s="55"/>
      <c r="L683" s="55"/>
      <c r="M683" s="82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</row>
    <row r="684" spans="1:35" ht="13.5" customHeight="1">
      <c r="A684" s="55"/>
      <c r="B684" s="55"/>
      <c r="C684" s="55"/>
      <c r="D684" s="55"/>
      <c r="E684" s="70"/>
      <c r="F684" s="55"/>
      <c r="G684" s="17"/>
      <c r="H684" s="17"/>
      <c r="I684" s="55"/>
      <c r="J684" s="55"/>
      <c r="K684" s="55"/>
      <c r="L684" s="55"/>
      <c r="M684" s="82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</row>
    <row r="685" spans="1:35" ht="13.5" customHeight="1">
      <c r="A685" s="55"/>
      <c r="B685" s="55"/>
      <c r="C685" s="55"/>
      <c r="D685" s="55"/>
      <c r="E685" s="70"/>
      <c r="F685" s="55"/>
      <c r="G685" s="17"/>
      <c r="H685" s="17"/>
      <c r="I685" s="55"/>
      <c r="J685" s="55"/>
      <c r="K685" s="55"/>
      <c r="L685" s="55"/>
      <c r="M685" s="82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</row>
    <row r="686" spans="1:35" ht="13.5" customHeight="1">
      <c r="A686" s="55"/>
      <c r="B686" s="55"/>
      <c r="C686" s="55"/>
      <c r="D686" s="55"/>
      <c r="E686" s="70"/>
      <c r="F686" s="55"/>
      <c r="G686" s="17"/>
      <c r="H686" s="17"/>
      <c r="I686" s="55"/>
      <c r="J686" s="55"/>
      <c r="K686" s="55"/>
      <c r="L686" s="55"/>
      <c r="M686" s="82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</row>
    <row r="687" spans="1:35" ht="13.5" customHeight="1">
      <c r="A687" s="55"/>
      <c r="B687" s="55"/>
      <c r="C687" s="55"/>
      <c r="D687" s="55"/>
      <c r="E687" s="70"/>
      <c r="F687" s="55"/>
      <c r="G687" s="17"/>
      <c r="H687" s="17"/>
      <c r="I687" s="55"/>
      <c r="J687" s="55"/>
      <c r="K687" s="55"/>
      <c r="L687" s="55"/>
      <c r="M687" s="82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</row>
    <row r="688" spans="1:35" ht="13.5" customHeight="1">
      <c r="A688" s="55"/>
      <c r="B688" s="55"/>
      <c r="C688" s="55"/>
      <c r="D688" s="55"/>
      <c r="E688" s="70"/>
      <c r="F688" s="55"/>
      <c r="G688" s="17"/>
      <c r="H688" s="17"/>
      <c r="I688" s="55"/>
      <c r="J688" s="55"/>
      <c r="K688" s="55"/>
      <c r="L688" s="55"/>
      <c r="M688" s="82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</row>
    <row r="689" spans="1:35" ht="13.5" customHeight="1">
      <c r="A689" s="55"/>
      <c r="B689" s="55"/>
      <c r="C689" s="55"/>
      <c r="D689" s="55"/>
      <c r="E689" s="70"/>
      <c r="F689" s="55"/>
      <c r="G689" s="17"/>
      <c r="H689" s="17"/>
      <c r="I689" s="55"/>
      <c r="J689" s="55"/>
      <c r="K689" s="55"/>
      <c r="L689" s="55"/>
      <c r="M689" s="82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</row>
    <row r="690" spans="1:35" ht="13.5" customHeight="1">
      <c r="A690" s="55"/>
      <c r="B690" s="55"/>
      <c r="C690" s="55"/>
      <c r="D690" s="55"/>
      <c r="E690" s="70"/>
      <c r="F690" s="55"/>
      <c r="G690" s="17"/>
      <c r="H690" s="17"/>
      <c r="I690" s="55"/>
      <c r="J690" s="55"/>
      <c r="K690" s="55"/>
      <c r="L690" s="55"/>
      <c r="M690" s="82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</row>
    <row r="691" spans="1:35" ht="13.5" customHeight="1">
      <c r="A691" s="55"/>
      <c r="B691" s="55"/>
      <c r="C691" s="55"/>
      <c r="D691" s="55"/>
      <c r="E691" s="70"/>
      <c r="F691" s="55"/>
      <c r="G691" s="17"/>
      <c r="H691" s="17"/>
      <c r="I691" s="55"/>
      <c r="J691" s="55"/>
      <c r="K691" s="55"/>
      <c r="L691" s="55"/>
      <c r="M691" s="82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</row>
    <row r="692" spans="1:35" ht="13.5" customHeight="1">
      <c r="A692" s="55"/>
      <c r="B692" s="55"/>
      <c r="C692" s="55"/>
      <c r="D692" s="55"/>
      <c r="E692" s="70"/>
      <c r="F692" s="55"/>
      <c r="G692" s="17"/>
      <c r="H692" s="17"/>
      <c r="I692" s="55"/>
      <c r="J692" s="55"/>
      <c r="K692" s="55"/>
      <c r="L692" s="55"/>
      <c r="M692" s="82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</row>
    <row r="693" spans="1:35" ht="13.5" customHeight="1">
      <c r="A693" s="55"/>
      <c r="B693" s="55"/>
      <c r="C693" s="55"/>
      <c r="D693" s="55"/>
      <c r="E693" s="70"/>
      <c r="F693" s="55"/>
      <c r="G693" s="17"/>
      <c r="H693" s="17"/>
      <c r="I693" s="55"/>
      <c r="J693" s="55"/>
      <c r="K693" s="55"/>
      <c r="L693" s="55"/>
      <c r="M693" s="82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</row>
    <row r="694" spans="1:35" ht="13.5" customHeight="1">
      <c r="A694" s="55"/>
      <c r="B694" s="55"/>
      <c r="C694" s="55"/>
      <c r="D694" s="55"/>
      <c r="E694" s="70"/>
      <c r="F694" s="55"/>
      <c r="G694" s="17"/>
      <c r="H694" s="17"/>
      <c r="I694" s="55"/>
      <c r="J694" s="55"/>
      <c r="K694" s="55"/>
      <c r="L694" s="55"/>
      <c r="M694" s="82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</row>
    <row r="695" spans="1:35" ht="13.5" customHeight="1">
      <c r="A695" s="55"/>
      <c r="B695" s="55"/>
      <c r="C695" s="55"/>
      <c r="D695" s="55"/>
      <c r="E695" s="70"/>
      <c r="F695" s="55"/>
      <c r="G695" s="17"/>
      <c r="H695" s="17"/>
      <c r="I695" s="55"/>
      <c r="J695" s="55"/>
      <c r="K695" s="55"/>
      <c r="L695" s="55"/>
      <c r="M695" s="82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</row>
    <row r="696" spans="1:35" ht="13.5" customHeight="1">
      <c r="A696" s="55"/>
      <c r="B696" s="55"/>
      <c r="C696" s="55"/>
      <c r="D696" s="55"/>
      <c r="E696" s="70"/>
      <c r="F696" s="55"/>
      <c r="G696" s="17"/>
      <c r="H696" s="17"/>
      <c r="I696" s="55"/>
      <c r="J696" s="55"/>
      <c r="K696" s="55"/>
      <c r="L696" s="55"/>
      <c r="M696" s="82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</row>
    <row r="697" spans="1:35" ht="13.5" customHeight="1">
      <c r="A697" s="55"/>
      <c r="B697" s="55"/>
      <c r="C697" s="55"/>
      <c r="D697" s="55"/>
      <c r="E697" s="70"/>
      <c r="F697" s="55"/>
      <c r="G697" s="17"/>
      <c r="H697" s="17"/>
      <c r="I697" s="55"/>
      <c r="J697" s="55"/>
      <c r="K697" s="55"/>
      <c r="L697" s="55"/>
      <c r="M697" s="82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</row>
    <row r="698" spans="1:35" ht="13.5" customHeight="1">
      <c r="A698" s="55"/>
      <c r="B698" s="55"/>
      <c r="C698" s="55"/>
      <c r="D698" s="55"/>
      <c r="E698" s="70"/>
      <c r="F698" s="55"/>
      <c r="G698" s="17"/>
      <c r="H698" s="17"/>
      <c r="I698" s="55"/>
      <c r="J698" s="55"/>
      <c r="K698" s="55"/>
      <c r="L698" s="55"/>
      <c r="M698" s="82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</row>
    <row r="699" spans="1:35" ht="13.5" customHeight="1">
      <c r="A699" s="55"/>
      <c r="B699" s="55"/>
      <c r="C699" s="55"/>
      <c r="D699" s="55"/>
      <c r="E699" s="70"/>
      <c r="F699" s="55"/>
      <c r="G699" s="17"/>
      <c r="H699" s="17"/>
      <c r="I699" s="55"/>
      <c r="J699" s="55"/>
      <c r="K699" s="55"/>
      <c r="L699" s="55"/>
      <c r="M699" s="82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</row>
    <row r="700" spans="1:35" ht="13.5" customHeight="1">
      <c r="A700" s="55"/>
      <c r="B700" s="55"/>
      <c r="C700" s="55"/>
      <c r="D700" s="55"/>
      <c r="E700" s="70"/>
      <c r="F700" s="55"/>
      <c r="G700" s="17"/>
      <c r="H700" s="17"/>
      <c r="I700" s="55"/>
      <c r="J700" s="55"/>
      <c r="K700" s="55"/>
      <c r="L700" s="55"/>
      <c r="M700" s="82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</row>
    <row r="701" spans="1:35" ht="13.5" customHeight="1">
      <c r="A701" s="55"/>
      <c r="B701" s="55"/>
      <c r="C701" s="55"/>
      <c r="D701" s="55"/>
      <c r="E701" s="70"/>
      <c r="F701" s="55"/>
      <c r="G701" s="17"/>
      <c r="H701" s="17"/>
      <c r="I701" s="55"/>
      <c r="J701" s="55"/>
      <c r="K701" s="55"/>
      <c r="L701" s="55"/>
      <c r="M701" s="82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</row>
    <row r="702" spans="1:35" ht="13.5" customHeight="1">
      <c r="A702" s="55"/>
      <c r="B702" s="55"/>
      <c r="C702" s="55"/>
      <c r="D702" s="55"/>
      <c r="E702" s="70"/>
      <c r="F702" s="55"/>
      <c r="G702" s="17"/>
      <c r="H702" s="17"/>
      <c r="I702" s="55"/>
      <c r="J702" s="55"/>
      <c r="K702" s="55"/>
      <c r="L702" s="55"/>
      <c r="M702" s="82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</row>
    <row r="703" spans="1:35" ht="13.5" customHeight="1">
      <c r="A703" s="55"/>
      <c r="B703" s="55"/>
      <c r="C703" s="55"/>
      <c r="D703" s="55"/>
      <c r="E703" s="70"/>
      <c r="F703" s="55"/>
      <c r="G703" s="17"/>
      <c r="H703" s="17"/>
      <c r="I703" s="55"/>
      <c r="J703" s="55"/>
      <c r="K703" s="55"/>
      <c r="L703" s="55"/>
      <c r="M703" s="82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</row>
    <row r="704" spans="1:35" ht="13.5" customHeight="1">
      <c r="A704" s="55"/>
      <c r="B704" s="55"/>
      <c r="C704" s="55"/>
      <c r="D704" s="55"/>
      <c r="E704" s="70"/>
      <c r="F704" s="55"/>
      <c r="G704" s="17"/>
      <c r="H704" s="17"/>
      <c r="I704" s="55"/>
      <c r="J704" s="55"/>
      <c r="K704" s="55"/>
      <c r="L704" s="55"/>
      <c r="M704" s="82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</row>
    <row r="705" spans="1:35" ht="13.5" customHeight="1">
      <c r="A705" s="55"/>
      <c r="B705" s="55"/>
      <c r="C705" s="55"/>
      <c r="D705" s="55"/>
      <c r="E705" s="70"/>
      <c r="F705" s="55"/>
      <c r="G705" s="17"/>
      <c r="H705" s="17"/>
      <c r="I705" s="55"/>
      <c r="J705" s="55"/>
      <c r="K705" s="55"/>
      <c r="L705" s="55"/>
      <c r="M705" s="82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</row>
    <row r="706" spans="1:35" ht="13.5" customHeight="1">
      <c r="A706" s="55"/>
      <c r="B706" s="55"/>
      <c r="C706" s="55"/>
      <c r="D706" s="55"/>
      <c r="E706" s="70"/>
      <c r="F706" s="55"/>
      <c r="G706" s="17"/>
      <c r="H706" s="17"/>
      <c r="I706" s="55"/>
      <c r="J706" s="55"/>
      <c r="K706" s="55"/>
      <c r="L706" s="55"/>
      <c r="M706" s="82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</row>
    <row r="707" spans="1:35" ht="13.5" customHeight="1">
      <c r="A707" s="55"/>
      <c r="B707" s="55"/>
      <c r="C707" s="55"/>
      <c r="D707" s="55"/>
      <c r="E707" s="70"/>
      <c r="F707" s="55"/>
      <c r="G707" s="17"/>
      <c r="H707" s="17"/>
      <c r="I707" s="55"/>
      <c r="J707" s="55"/>
      <c r="K707" s="55"/>
      <c r="L707" s="55"/>
      <c r="M707" s="82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</row>
    <row r="708" spans="1:35" ht="13.5" customHeight="1">
      <c r="A708" s="55"/>
      <c r="B708" s="55"/>
      <c r="C708" s="55"/>
      <c r="D708" s="55"/>
      <c r="E708" s="70"/>
      <c r="F708" s="55"/>
      <c r="G708" s="17"/>
      <c r="H708" s="17"/>
      <c r="I708" s="55"/>
      <c r="J708" s="55"/>
      <c r="K708" s="55"/>
      <c r="L708" s="55"/>
      <c r="M708" s="82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</row>
    <row r="709" spans="1:35" ht="13.5" customHeight="1">
      <c r="A709" s="55"/>
      <c r="B709" s="55"/>
      <c r="C709" s="55"/>
      <c r="D709" s="55"/>
      <c r="E709" s="70"/>
      <c r="F709" s="55"/>
      <c r="G709" s="17"/>
      <c r="H709" s="17"/>
      <c r="I709" s="55"/>
      <c r="J709" s="55"/>
      <c r="K709" s="55"/>
      <c r="L709" s="55"/>
      <c r="M709" s="82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</row>
    <row r="710" spans="1:35" ht="13.5" customHeight="1">
      <c r="A710" s="55"/>
      <c r="B710" s="55"/>
      <c r="C710" s="55"/>
      <c r="D710" s="55"/>
      <c r="E710" s="70"/>
      <c r="F710" s="55"/>
      <c r="G710" s="17"/>
      <c r="H710" s="17"/>
      <c r="I710" s="55"/>
      <c r="J710" s="55"/>
      <c r="K710" s="55"/>
      <c r="L710" s="55"/>
      <c r="M710" s="82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</row>
    <row r="711" spans="1:35" ht="13.5" customHeight="1">
      <c r="A711" s="55"/>
      <c r="B711" s="55"/>
      <c r="C711" s="55"/>
      <c r="D711" s="55"/>
      <c r="E711" s="70"/>
      <c r="F711" s="55"/>
      <c r="G711" s="17"/>
      <c r="H711" s="17"/>
      <c r="I711" s="55"/>
      <c r="J711" s="55"/>
      <c r="K711" s="55"/>
      <c r="L711" s="55"/>
      <c r="M711" s="82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</row>
    <row r="712" spans="1:35" ht="13.5" customHeight="1">
      <c r="A712" s="55"/>
      <c r="B712" s="55"/>
      <c r="C712" s="55"/>
      <c r="D712" s="55"/>
      <c r="E712" s="70"/>
      <c r="F712" s="55"/>
      <c r="G712" s="17"/>
      <c r="H712" s="17"/>
      <c r="I712" s="55"/>
      <c r="J712" s="55"/>
      <c r="K712" s="55"/>
      <c r="L712" s="55"/>
      <c r="M712" s="82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</row>
    <row r="713" spans="1:35" ht="13.5" customHeight="1">
      <c r="A713" s="55"/>
      <c r="B713" s="55"/>
      <c r="C713" s="55"/>
      <c r="D713" s="55"/>
      <c r="E713" s="70"/>
      <c r="F713" s="55"/>
      <c r="G713" s="17"/>
      <c r="H713" s="17"/>
      <c r="I713" s="55"/>
      <c r="J713" s="55"/>
      <c r="K713" s="55"/>
      <c r="L713" s="55"/>
      <c r="M713" s="82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</row>
    <row r="714" spans="1:35" ht="13.5" customHeight="1">
      <c r="A714" s="55"/>
      <c r="B714" s="55"/>
      <c r="C714" s="55"/>
      <c r="D714" s="55"/>
      <c r="E714" s="70"/>
      <c r="F714" s="55"/>
      <c r="G714" s="17"/>
      <c r="H714" s="17"/>
      <c r="I714" s="55"/>
      <c r="J714" s="55"/>
      <c r="K714" s="55"/>
      <c r="L714" s="55"/>
      <c r="M714" s="82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</row>
    <row r="715" spans="1:35" ht="13.5" customHeight="1">
      <c r="A715" s="55"/>
      <c r="B715" s="55"/>
      <c r="C715" s="55"/>
      <c r="D715" s="55"/>
      <c r="E715" s="70"/>
      <c r="F715" s="55"/>
      <c r="G715" s="17"/>
      <c r="H715" s="17"/>
      <c r="I715" s="55"/>
      <c r="J715" s="55"/>
      <c r="K715" s="55"/>
      <c r="L715" s="55"/>
      <c r="M715" s="82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</row>
    <row r="716" spans="1:35" ht="13.5" customHeight="1">
      <c r="A716" s="55"/>
      <c r="B716" s="55"/>
      <c r="C716" s="55"/>
      <c r="D716" s="55"/>
      <c r="E716" s="70"/>
      <c r="F716" s="55"/>
      <c r="G716" s="17"/>
      <c r="H716" s="17"/>
      <c r="I716" s="55"/>
      <c r="J716" s="55"/>
      <c r="K716" s="55"/>
      <c r="L716" s="55"/>
      <c r="M716" s="82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</row>
    <row r="717" spans="1:35" ht="13.5" customHeight="1">
      <c r="A717" s="55"/>
      <c r="B717" s="55"/>
      <c r="C717" s="55"/>
      <c r="D717" s="55"/>
      <c r="E717" s="70"/>
      <c r="F717" s="55"/>
      <c r="G717" s="17"/>
      <c r="H717" s="17"/>
      <c r="I717" s="55"/>
      <c r="J717" s="55"/>
      <c r="K717" s="55"/>
      <c r="L717" s="55"/>
      <c r="M717" s="82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</row>
    <row r="718" spans="1:35" ht="13.5" customHeight="1">
      <c r="A718" s="55"/>
      <c r="B718" s="55"/>
      <c r="C718" s="55"/>
      <c r="D718" s="55"/>
      <c r="E718" s="70"/>
      <c r="F718" s="55"/>
      <c r="G718" s="17"/>
      <c r="H718" s="17"/>
      <c r="I718" s="55"/>
      <c r="J718" s="55"/>
      <c r="K718" s="55"/>
      <c r="L718" s="55"/>
      <c r="M718" s="82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</row>
    <row r="719" spans="1:35" ht="13.5" customHeight="1">
      <c r="A719" s="55"/>
      <c r="B719" s="55"/>
      <c r="C719" s="55"/>
      <c r="D719" s="55"/>
      <c r="E719" s="70"/>
      <c r="F719" s="55"/>
      <c r="G719" s="17"/>
      <c r="H719" s="17"/>
      <c r="I719" s="55"/>
      <c r="J719" s="55"/>
      <c r="K719" s="55"/>
      <c r="L719" s="55"/>
      <c r="M719" s="82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</row>
    <row r="720" spans="1:35" ht="13.5" customHeight="1">
      <c r="A720" s="55"/>
      <c r="B720" s="55"/>
      <c r="C720" s="55"/>
      <c r="D720" s="55"/>
      <c r="E720" s="70"/>
      <c r="F720" s="55"/>
      <c r="G720" s="17"/>
      <c r="H720" s="17"/>
      <c r="I720" s="55"/>
      <c r="J720" s="55"/>
      <c r="K720" s="55"/>
      <c r="L720" s="55"/>
      <c r="M720" s="82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</row>
    <row r="721" spans="1:35" ht="13.5" customHeight="1">
      <c r="A721" s="55"/>
      <c r="B721" s="55"/>
      <c r="C721" s="55"/>
      <c r="D721" s="55"/>
      <c r="E721" s="70"/>
      <c r="F721" s="55"/>
      <c r="G721" s="17"/>
      <c r="H721" s="17"/>
      <c r="I721" s="55"/>
      <c r="J721" s="55"/>
      <c r="K721" s="55"/>
      <c r="L721" s="55"/>
      <c r="M721" s="82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</row>
    <row r="722" spans="1:35" ht="13.5" customHeight="1">
      <c r="A722" s="55"/>
      <c r="B722" s="55"/>
      <c r="C722" s="55"/>
      <c r="D722" s="55"/>
      <c r="E722" s="70"/>
      <c r="F722" s="55"/>
      <c r="G722" s="17"/>
      <c r="H722" s="17"/>
      <c r="I722" s="55"/>
      <c r="J722" s="55"/>
      <c r="K722" s="55"/>
      <c r="L722" s="55"/>
      <c r="M722" s="82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</row>
    <row r="723" spans="1:35" ht="13.5" customHeight="1">
      <c r="A723" s="55"/>
      <c r="B723" s="55"/>
      <c r="C723" s="55"/>
      <c r="D723" s="55"/>
      <c r="E723" s="70"/>
      <c r="F723" s="55"/>
      <c r="G723" s="17"/>
      <c r="H723" s="17"/>
      <c r="I723" s="55"/>
      <c r="J723" s="55"/>
      <c r="K723" s="55"/>
      <c r="L723" s="55"/>
      <c r="M723" s="82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</row>
    <row r="724" spans="1:35" ht="13.5" customHeight="1">
      <c r="A724" s="55"/>
      <c r="B724" s="55"/>
      <c r="C724" s="55"/>
      <c r="D724" s="55"/>
      <c r="E724" s="70"/>
      <c r="F724" s="55"/>
      <c r="G724" s="17"/>
      <c r="H724" s="17"/>
      <c r="I724" s="55"/>
      <c r="J724" s="55"/>
      <c r="K724" s="55"/>
      <c r="L724" s="55"/>
      <c r="M724" s="82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</row>
    <row r="725" spans="1:35" ht="13.5" customHeight="1">
      <c r="A725" s="55"/>
      <c r="B725" s="55"/>
      <c r="C725" s="55"/>
      <c r="D725" s="55"/>
      <c r="E725" s="70"/>
      <c r="F725" s="55"/>
      <c r="G725" s="17"/>
      <c r="H725" s="17"/>
      <c r="I725" s="55"/>
      <c r="J725" s="55"/>
      <c r="K725" s="55"/>
      <c r="L725" s="55"/>
      <c r="M725" s="82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</row>
    <row r="726" spans="1:35" ht="13.5" customHeight="1">
      <c r="A726" s="55"/>
      <c r="B726" s="55"/>
      <c r="C726" s="55"/>
      <c r="D726" s="55"/>
      <c r="E726" s="70"/>
      <c r="F726" s="55"/>
      <c r="G726" s="17"/>
      <c r="H726" s="17"/>
      <c r="I726" s="55"/>
      <c r="J726" s="55"/>
      <c r="K726" s="55"/>
      <c r="L726" s="55"/>
      <c r="M726" s="82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</row>
    <row r="727" spans="1:35" ht="13.5" customHeight="1">
      <c r="A727" s="55"/>
      <c r="B727" s="55"/>
      <c r="C727" s="55"/>
      <c r="D727" s="55"/>
      <c r="E727" s="70"/>
      <c r="F727" s="55"/>
      <c r="G727" s="17"/>
      <c r="H727" s="17"/>
      <c r="I727" s="55"/>
      <c r="J727" s="55"/>
      <c r="K727" s="55"/>
      <c r="L727" s="55"/>
      <c r="M727" s="82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</row>
    <row r="728" spans="1:35" ht="13.5" customHeight="1">
      <c r="A728" s="55"/>
      <c r="B728" s="55"/>
      <c r="C728" s="55"/>
      <c r="D728" s="55"/>
      <c r="E728" s="70"/>
      <c r="F728" s="55"/>
      <c r="G728" s="17"/>
      <c r="H728" s="17"/>
      <c r="I728" s="55"/>
      <c r="J728" s="55"/>
      <c r="K728" s="55"/>
      <c r="L728" s="55"/>
      <c r="M728" s="82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</row>
    <row r="729" spans="1:35" ht="13.5" customHeight="1">
      <c r="A729" s="55"/>
      <c r="B729" s="55"/>
      <c r="C729" s="55"/>
      <c r="D729" s="55"/>
      <c r="E729" s="70"/>
      <c r="F729" s="55"/>
      <c r="G729" s="17"/>
      <c r="H729" s="17"/>
      <c r="I729" s="55"/>
      <c r="J729" s="55"/>
      <c r="K729" s="55"/>
      <c r="L729" s="55"/>
      <c r="M729" s="82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</row>
    <row r="730" spans="1:35" ht="13.5" customHeight="1">
      <c r="A730" s="55"/>
      <c r="B730" s="55"/>
      <c r="C730" s="55"/>
      <c r="D730" s="55"/>
      <c r="E730" s="70"/>
      <c r="F730" s="55"/>
      <c r="G730" s="17"/>
      <c r="H730" s="17"/>
      <c r="I730" s="55"/>
      <c r="J730" s="55"/>
      <c r="K730" s="55"/>
      <c r="L730" s="55"/>
      <c r="M730" s="82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</row>
    <row r="731" spans="1:35" ht="13.5" customHeight="1">
      <c r="A731" s="55"/>
      <c r="B731" s="55"/>
      <c r="C731" s="55"/>
      <c r="D731" s="55"/>
      <c r="E731" s="70"/>
      <c r="F731" s="55"/>
      <c r="G731" s="17"/>
      <c r="H731" s="17"/>
      <c r="I731" s="55"/>
      <c r="J731" s="55"/>
      <c r="K731" s="55"/>
      <c r="L731" s="55"/>
      <c r="M731" s="82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</row>
    <row r="732" spans="1:35" ht="13.5" customHeight="1">
      <c r="A732" s="55"/>
      <c r="B732" s="55"/>
      <c r="C732" s="55"/>
      <c r="D732" s="55"/>
      <c r="E732" s="70"/>
      <c r="F732" s="55"/>
      <c r="G732" s="17"/>
      <c r="H732" s="17"/>
      <c r="I732" s="55"/>
      <c r="J732" s="55"/>
      <c r="K732" s="55"/>
      <c r="L732" s="55"/>
      <c r="M732" s="82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</row>
    <row r="733" spans="1:35" ht="13.5" customHeight="1">
      <c r="A733" s="55"/>
      <c r="B733" s="55"/>
      <c r="C733" s="55"/>
      <c r="D733" s="55"/>
      <c r="E733" s="70"/>
      <c r="F733" s="55"/>
      <c r="G733" s="17"/>
      <c r="H733" s="17"/>
      <c r="I733" s="55"/>
      <c r="J733" s="55"/>
      <c r="K733" s="55"/>
      <c r="L733" s="55"/>
      <c r="M733" s="82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</row>
    <row r="734" spans="1:35" ht="13.5" customHeight="1">
      <c r="A734" s="55"/>
      <c r="B734" s="55"/>
      <c r="C734" s="55"/>
      <c r="D734" s="55"/>
      <c r="E734" s="70"/>
      <c r="F734" s="55"/>
      <c r="G734" s="17"/>
      <c r="H734" s="17"/>
      <c r="I734" s="55"/>
      <c r="J734" s="55"/>
      <c r="K734" s="55"/>
      <c r="L734" s="55"/>
      <c r="M734" s="82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</row>
    <row r="735" spans="1:35" ht="13.5" customHeight="1">
      <c r="A735" s="55"/>
      <c r="B735" s="55"/>
      <c r="C735" s="55"/>
      <c r="D735" s="55"/>
      <c r="E735" s="70"/>
      <c r="F735" s="55"/>
      <c r="G735" s="17"/>
      <c r="H735" s="17"/>
      <c r="I735" s="55"/>
      <c r="J735" s="55"/>
      <c r="K735" s="55"/>
      <c r="L735" s="55"/>
      <c r="M735" s="82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</row>
    <row r="736" spans="1:35" ht="13.5" customHeight="1">
      <c r="A736" s="55"/>
      <c r="B736" s="55"/>
      <c r="C736" s="55"/>
      <c r="D736" s="55"/>
      <c r="E736" s="70"/>
      <c r="F736" s="55"/>
      <c r="G736" s="17"/>
      <c r="H736" s="17"/>
      <c r="I736" s="55"/>
      <c r="J736" s="55"/>
      <c r="K736" s="55"/>
      <c r="L736" s="55"/>
      <c r="M736" s="82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</row>
    <row r="737" spans="1:35" ht="13.5" customHeight="1">
      <c r="A737" s="55"/>
      <c r="B737" s="55"/>
      <c r="C737" s="55"/>
      <c r="D737" s="55"/>
      <c r="E737" s="70"/>
      <c r="F737" s="55"/>
      <c r="G737" s="17"/>
      <c r="H737" s="17"/>
      <c r="I737" s="55"/>
      <c r="J737" s="55"/>
      <c r="K737" s="55"/>
      <c r="L737" s="55"/>
      <c r="M737" s="82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</row>
    <row r="738" spans="1:35" ht="13.5" customHeight="1">
      <c r="A738" s="55"/>
      <c r="B738" s="55"/>
      <c r="C738" s="55"/>
      <c r="D738" s="55"/>
      <c r="E738" s="70"/>
      <c r="F738" s="55"/>
      <c r="G738" s="17"/>
      <c r="H738" s="17"/>
      <c r="I738" s="55"/>
      <c r="J738" s="55"/>
      <c r="K738" s="55"/>
      <c r="L738" s="55"/>
      <c r="M738" s="82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</row>
    <row r="739" spans="1:35" ht="13.5" customHeight="1">
      <c r="A739" s="55"/>
      <c r="B739" s="55"/>
      <c r="C739" s="55"/>
      <c r="D739" s="55"/>
      <c r="E739" s="70"/>
      <c r="F739" s="55"/>
      <c r="G739" s="17"/>
      <c r="H739" s="17"/>
      <c r="I739" s="55"/>
      <c r="J739" s="55"/>
      <c r="K739" s="55"/>
      <c r="L739" s="55"/>
      <c r="M739" s="82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</row>
    <row r="740" spans="1:35" ht="13.5" customHeight="1">
      <c r="A740" s="55"/>
      <c r="B740" s="55"/>
      <c r="C740" s="55"/>
      <c r="D740" s="55"/>
      <c r="E740" s="70"/>
      <c r="F740" s="55"/>
      <c r="G740" s="17"/>
      <c r="H740" s="17"/>
      <c r="I740" s="55"/>
      <c r="J740" s="55"/>
      <c r="K740" s="55"/>
      <c r="L740" s="55"/>
      <c r="M740" s="82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</row>
    <row r="741" spans="1:35" ht="13.5" customHeight="1">
      <c r="A741" s="55"/>
      <c r="B741" s="55"/>
      <c r="C741" s="55"/>
      <c r="D741" s="55"/>
      <c r="E741" s="70"/>
      <c r="F741" s="55"/>
      <c r="G741" s="17"/>
      <c r="H741" s="17"/>
      <c r="I741" s="55"/>
      <c r="J741" s="55"/>
      <c r="K741" s="55"/>
      <c r="L741" s="55"/>
      <c r="M741" s="82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</row>
    <row r="742" spans="1:35" ht="13.5" customHeight="1">
      <c r="A742" s="55"/>
      <c r="B742" s="55"/>
      <c r="C742" s="55"/>
      <c r="D742" s="55"/>
      <c r="E742" s="70"/>
      <c r="F742" s="55"/>
      <c r="G742" s="17"/>
      <c r="H742" s="17"/>
      <c r="I742" s="55"/>
      <c r="J742" s="55"/>
      <c r="K742" s="55"/>
      <c r="L742" s="55"/>
      <c r="M742" s="82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</row>
    <row r="743" spans="1:35" ht="13.5" customHeight="1">
      <c r="A743" s="55"/>
      <c r="B743" s="55"/>
      <c r="C743" s="55"/>
      <c r="D743" s="55"/>
      <c r="E743" s="70"/>
      <c r="F743" s="55"/>
      <c r="G743" s="17"/>
      <c r="H743" s="17"/>
      <c r="I743" s="55"/>
      <c r="J743" s="55"/>
      <c r="K743" s="55"/>
      <c r="L743" s="55"/>
      <c r="M743" s="82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</row>
    <row r="744" spans="1:35" ht="13.5" customHeight="1">
      <c r="A744" s="55"/>
      <c r="B744" s="55"/>
      <c r="C744" s="55"/>
      <c r="D744" s="55"/>
      <c r="E744" s="70"/>
      <c r="F744" s="55"/>
      <c r="G744" s="17"/>
      <c r="H744" s="17"/>
      <c r="I744" s="55"/>
      <c r="J744" s="55"/>
      <c r="K744" s="55"/>
      <c r="L744" s="55"/>
      <c r="M744" s="82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</row>
    <row r="745" spans="1:35" ht="13.5" customHeight="1">
      <c r="A745" s="55"/>
      <c r="B745" s="55"/>
      <c r="C745" s="55"/>
      <c r="D745" s="55"/>
      <c r="E745" s="70"/>
      <c r="F745" s="55"/>
      <c r="G745" s="17"/>
      <c r="H745" s="17"/>
      <c r="I745" s="55"/>
      <c r="J745" s="55"/>
      <c r="K745" s="55"/>
      <c r="L745" s="55"/>
      <c r="M745" s="82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</row>
    <row r="746" spans="1:35" ht="13.5" customHeight="1">
      <c r="A746" s="55"/>
      <c r="B746" s="55"/>
      <c r="C746" s="55"/>
      <c r="D746" s="55"/>
      <c r="E746" s="70"/>
      <c r="F746" s="55"/>
      <c r="G746" s="17"/>
      <c r="H746" s="17"/>
      <c r="I746" s="55"/>
      <c r="J746" s="55"/>
      <c r="K746" s="55"/>
      <c r="L746" s="55"/>
      <c r="M746" s="82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</row>
    <row r="747" spans="1:35" ht="13.5" customHeight="1">
      <c r="A747" s="55"/>
      <c r="B747" s="55"/>
      <c r="C747" s="55"/>
      <c r="D747" s="55"/>
      <c r="E747" s="70"/>
      <c r="F747" s="55"/>
      <c r="G747" s="17"/>
      <c r="H747" s="17"/>
      <c r="I747" s="55"/>
      <c r="J747" s="55"/>
      <c r="K747" s="55"/>
      <c r="L747" s="55"/>
      <c r="M747" s="82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</row>
    <row r="748" spans="1:35" ht="13.5" customHeight="1">
      <c r="A748" s="55"/>
      <c r="B748" s="55"/>
      <c r="C748" s="55"/>
      <c r="D748" s="55"/>
      <c r="E748" s="70"/>
      <c r="F748" s="55"/>
      <c r="G748" s="17"/>
      <c r="H748" s="17"/>
      <c r="I748" s="55"/>
      <c r="J748" s="55"/>
      <c r="K748" s="55"/>
      <c r="L748" s="55"/>
      <c r="M748" s="82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</row>
    <row r="749" spans="1:35" ht="13.5" customHeight="1">
      <c r="A749" s="55"/>
      <c r="B749" s="55"/>
      <c r="C749" s="55"/>
      <c r="D749" s="55"/>
      <c r="E749" s="70"/>
      <c r="F749" s="55"/>
      <c r="G749" s="17"/>
      <c r="H749" s="17"/>
      <c r="I749" s="55"/>
      <c r="J749" s="55"/>
      <c r="K749" s="55"/>
      <c r="L749" s="55"/>
      <c r="M749" s="82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</row>
    <row r="750" spans="1:35" ht="13.5" customHeight="1">
      <c r="A750" s="55"/>
      <c r="B750" s="55"/>
      <c r="C750" s="55"/>
      <c r="D750" s="55"/>
      <c r="E750" s="70"/>
      <c r="F750" s="55"/>
      <c r="G750" s="17"/>
      <c r="H750" s="17"/>
      <c r="I750" s="55"/>
      <c r="J750" s="55"/>
      <c r="K750" s="55"/>
      <c r="L750" s="55"/>
      <c r="M750" s="82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</row>
    <row r="751" spans="1:35" ht="13.5" customHeight="1">
      <c r="A751" s="55"/>
      <c r="B751" s="55"/>
      <c r="C751" s="55"/>
      <c r="D751" s="55"/>
      <c r="E751" s="70"/>
      <c r="F751" s="55"/>
      <c r="G751" s="17"/>
      <c r="H751" s="17"/>
      <c r="I751" s="55"/>
      <c r="J751" s="55"/>
      <c r="K751" s="55"/>
      <c r="L751" s="55"/>
      <c r="M751" s="82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</row>
    <row r="752" spans="1:35" ht="13.5" customHeight="1">
      <c r="A752" s="55"/>
      <c r="B752" s="55"/>
      <c r="C752" s="55"/>
      <c r="D752" s="55"/>
      <c r="E752" s="70"/>
      <c r="F752" s="55"/>
      <c r="G752" s="17"/>
      <c r="H752" s="17"/>
      <c r="I752" s="55"/>
      <c r="J752" s="55"/>
      <c r="K752" s="55"/>
      <c r="L752" s="55"/>
      <c r="M752" s="82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</row>
    <row r="753" spans="1:35" ht="13.5" customHeight="1">
      <c r="A753" s="55"/>
      <c r="B753" s="55"/>
      <c r="C753" s="55"/>
      <c r="D753" s="55"/>
      <c r="E753" s="70"/>
      <c r="F753" s="55"/>
      <c r="G753" s="17"/>
      <c r="H753" s="17"/>
      <c r="I753" s="55"/>
      <c r="J753" s="55"/>
      <c r="K753" s="55"/>
      <c r="L753" s="55"/>
      <c r="M753" s="82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</row>
    <row r="754" spans="1:35" ht="13.5" customHeight="1">
      <c r="A754" s="55"/>
      <c r="B754" s="55"/>
      <c r="C754" s="55"/>
      <c r="D754" s="55"/>
      <c r="E754" s="70"/>
      <c r="F754" s="55"/>
      <c r="G754" s="17"/>
      <c r="H754" s="17"/>
      <c r="I754" s="55"/>
      <c r="J754" s="55"/>
      <c r="K754" s="55"/>
      <c r="L754" s="55"/>
      <c r="M754" s="82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</row>
    <row r="755" spans="1:35" ht="13.5" customHeight="1">
      <c r="A755" s="55"/>
      <c r="B755" s="55"/>
      <c r="C755" s="55"/>
      <c r="D755" s="55"/>
      <c r="E755" s="70"/>
      <c r="F755" s="55"/>
      <c r="G755" s="17"/>
      <c r="H755" s="17"/>
      <c r="I755" s="55"/>
      <c r="J755" s="55"/>
      <c r="K755" s="55"/>
      <c r="L755" s="55"/>
      <c r="M755" s="82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  <c r="AH755" s="55"/>
      <c r="AI755" s="55"/>
    </row>
    <row r="756" spans="1:35" ht="13.5" customHeight="1">
      <c r="A756" s="55"/>
      <c r="B756" s="55"/>
      <c r="C756" s="55"/>
      <c r="D756" s="55"/>
      <c r="E756" s="70"/>
      <c r="F756" s="55"/>
      <c r="G756" s="17"/>
      <c r="H756" s="17"/>
      <c r="I756" s="55"/>
      <c r="J756" s="55"/>
      <c r="K756" s="55"/>
      <c r="L756" s="55"/>
      <c r="M756" s="82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  <c r="AH756" s="55"/>
      <c r="AI756" s="55"/>
    </row>
    <row r="757" spans="1:35" ht="13.5" customHeight="1">
      <c r="A757" s="55"/>
      <c r="B757" s="55"/>
      <c r="C757" s="55"/>
      <c r="D757" s="55"/>
      <c r="E757" s="70"/>
      <c r="F757" s="55"/>
      <c r="G757" s="17"/>
      <c r="H757" s="17"/>
      <c r="I757" s="55"/>
      <c r="J757" s="55"/>
      <c r="K757" s="55"/>
      <c r="L757" s="55"/>
      <c r="M757" s="82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</row>
    <row r="758" spans="1:35" ht="13.5" customHeight="1">
      <c r="A758" s="55"/>
      <c r="B758" s="55"/>
      <c r="C758" s="55"/>
      <c r="D758" s="55"/>
      <c r="E758" s="70"/>
      <c r="F758" s="55"/>
      <c r="G758" s="17"/>
      <c r="H758" s="17"/>
      <c r="I758" s="55"/>
      <c r="J758" s="55"/>
      <c r="K758" s="55"/>
      <c r="L758" s="55"/>
      <c r="M758" s="82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</row>
    <row r="759" spans="1:35" ht="13.5" customHeight="1">
      <c r="A759" s="55"/>
      <c r="B759" s="55"/>
      <c r="C759" s="55"/>
      <c r="D759" s="55"/>
      <c r="E759" s="70"/>
      <c r="F759" s="55"/>
      <c r="G759" s="17"/>
      <c r="H759" s="17"/>
      <c r="I759" s="55"/>
      <c r="J759" s="55"/>
      <c r="K759" s="55"/>
      <c r="L759" s="55"/>
      <c r="M759" s="82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</row>
    <row r="760" spans="1:35" ht="13.5" customHeight="1">
      <c r="A760" s="55"/>
      <c r="B760" s="55"/>
      <c r="C760" s="55"/>
      <c r="D760" s="55"/>
      <c r="E760" s="70"/>
      <c r="F760" s="55"/>
      <c r="G760" s="17"/>
      <c r="H760" s="17"/>
      <c r="I760" s="55"/>
      <c r="J760" s="55"/>
      <c r="K760" s="55"/>
      <c r="L760" s="55"/>
      <c r="M760" s="82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</row>
    <row r="761" spans="1:35" ht="13.5" customHeight="1">
      <c r="A761" s="55"/>
      <c r="B761" s="55"/>
      <c r="C761" s="55"/>
      <c r="D761" s="55"/>
      <c r="E761" s="70"/>
      <c r="F761" s="55"/>
      <c r="G761" s="17"/>
      <c r="H761" s="17"/>
      <c r="I761" s="55"/>
      <c r="J761" s="55"/>
      <c r="K761" s="55"/>
      <c r="L761" s="55"/>
      <c r="M761" s="82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</row>
    <row r="762" spans="1:35" ht="13.5" customHeight="1">
      <c r="A762" s="55"/>
      <c r="B762" s="55"/>
      <c r="C762" s="55"/>
      <c r="D762" s="55"/>
      <c r="E762" s="70"/>
      <c r="F762" s="55"/>
      <c r="G762" s="17"/>
      <c r="H762" s="17"/>
      <c r="I762" s="55"/>
      <c r="J762" s="55"/>
      <c r="K762" s="55"/>
      <c r="L762" s="55"/>
      <c r="M762" s="82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F762" s="55"/>
      <c r="AG762" s="55"/>
      <c r="AH762" s="55"/>
      <c r="AI762" s="55"/>
    </row>
    <row r="763" spans="1:35" ht="13.5" customHeight="1">
      <c r="A763" s="55"/>
      <c r="B763" s="55"/>
      <c r="C763" s="55"/>
      <c r="D763" s="55"/>
      <c r="E763" s="70"/>
      <c r="F763" s="55"/>
      <c r="G763" s="17"/>
      <c r="H763" s="17"/>
      <c r="I763" s="55"/>
      <c r="J763" s="55"/>
      <c r="K763" s="55"/>
      <c r="L763" s="55"/>
      <c r="M763" s="82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</row>
    <row r="764" spans="1:35" ht="13.5" customHeight="1">
      <c r="A764" s="55"/>
      <c r="B764" s="55"/>
      <c r="C764" s="55"/>
      <c r="D764" s="55"/>
      <c r="E764" s="70"/>
      <c r="F764" s="55"/>
      <c r="G764" s="17"/>
      <c r="H764" s="17"/>
      <c r="I764" s="55"/>
      <c r="J764" s="55"/>
      <c r="K764" s="55"/>
      <c r="L764" s="55"/>
      <c r="M764" s="82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</row>
    <row r="765" spans="1:35" ht="13.5" customHeight="1">
      <c r="A765" s="55"/>
      <c r="B765" s="55"/>
      <c r="C765" s="55"/>
      <c r="D765" s="55"/>
      <c r="E765" s="70"/>
      <c r="F765" s="55"/>
      <c r="G765" s="17"/>
      <c r="H765" s="17"/>
      <c r="I765" s="55"/>
      <c r="J765" s="55"/>
      <c r="K765" s="55"/>
      <c r="L765" s="55"/>
      <c r="M765" s="82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</row>
    <row r="766" spans="1:35" ht="13.5" customHeight="1">
      <c r="A766" s="55"/>
      <c r="B766" s="55"/>
      <c r="C766" s="55"/>
      <c r="D766" s="55"/>
      <c r="E766" s="70"/>
      <c r="F766" s="55"/>
      <c r="G766" s="17"/>
      <c r="H766" s="17"/>
      <c r="I766" s="55"/>
      <c r="J766" s="55"/>
      <c r="K766" s="55"/>
      <c r="L766" s="55"/>
      <c r="M766" s="82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</row>
    <row r="767" spans="1:35" ht="13.5" customHeight="1">
      <c r="A767" s="55"/>
      <c r="B767" s="55"/>
      <c r="C767" s="55"/>
      <c r="D767" s="55"/>
      <c r="E767" s="70"/>
      <c r="F767" s="55"/>
      <c r="G767" s="17"/>
      <c r="H767" s="17"/>
      <c r="I767" s="55"/>
      <c r="J767" s="55"/>
      <c r="K767" s="55"/>
      <c r="L767" s="55"/>
      <c r="M767" s="82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</row>
    <row r="768" spans="1:35" ht="13.5" customHeight="1">
      <c r="A768" s="55"/>
      <c r="B768" s="55"/>
      <c r="C768" s="55"/>
      <c r="D768" s="55"/>
      <c r="E768" s="70"/>
      <c r="F768" s="55"/>
      <c r="G768" s="17"/>
      <c r="H768" s="17"/>
      <c r="I768" s="55"/>
      <c r="J768" s="55"/>
      <c r="K768" s="55"/>
      <c r="L768" s="55"/>
      <c r="M768" s="82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</row>
    <row r="769" spans="1:35" ht="13.5" customHeight="1">
      <c r="A769" s="55"/>
      <c r="B769" s="55"/>
      <c r="C769" s="55"/>
      <c r="D769" s="55"/>
      <c r="E769" s="70"/>
      <c r="F769" s="55"/>
      <c r="G769" s="17"/>
      <c r="H769" s="17"/>
      <c r="I769" s="55"/>
      <c r="J769" s="55"/>
      <c r="K769" s="55"/>
      <c r="L769" s="55"/>
      <c r="M769" s="82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</row>
    <row r="770" spans="1:35" ht="13.5" customHeight="1">
      <c r="A770" s="55"/>
      <c r="B770" s="55"/>
      <c r="C770" s="55"/>
      <c r="D770" s="55"/>
      <c r="E770" s="70"/>
      <c r="F770" s="55"/>
      <c r="G770" s="17"/>
      <c r="H770" s="17"/>
      <c r="I770" s="55"/>
      <c r="J770" s="55"/>
      <c r="K770" s="55"/>
      <c r="L770" s="55"/>
      <c r="M770" s="82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</row>
    <row r="771" spans="1:35" ht="13.5" customHeight="1">
      <c r="A771" s="55"/>
      <c r="B771" s="55"/>
      <c r="C771" s="55"/>
      <c r="D771" s="55"/>
      <c r="E771" s="70"/>
      <c r="F771" s="55"/>
      <c r="G771" s="17"/>
      <c r="H771" s="17"/>
      <c r="I771" s="55"/>
      <c r="J771" s="55"/>
      <c r="K771" s="55"/>
      <c r="L771" s="55"/>
      <c r="M771" s="82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</row>
    <row r="772" spans="1:35" ht="13.5" customHeight="1">
      <c r="A772" s="55"/>
      <c r="B772" s="55"/>
      <c r="C772" s="55"/>
      <c r="D772" s="55"/>
      <c r="E772" s="70"/>
      <c r="F772" s="55"/>
      <c r="G772" s="17"/>
      <c r="H772" s="17"/>
      <c r="I772" s="55"/>
      <c r="J772" s="55"/>
      <c r="K772" s="55"/>
      <c r="L772" s="55"/>
      <c r="M772" s="82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</row>
    <row r="773" spans="1:35" ht="13.5" customHeight="1">
      <c r="A773" s="55"/>
      <c r="B773" s="55"/>
      <c r="C773" s="55"/>
      <c r="D773" s="55"/>
      <c r="E773" s="70"/>
      <c r="F773" s="55"/>
      <c r="G773" s="17"/>
      <c r="H773" s="17"/>
      <c r="I773" s="55"/>
      <c r="J773" s="55"/>
      <c r="K773" s="55"/>
      <c r="L773" s="55"/>
      <c r="M773" s="82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</row>
    <row r="774" spans="1:35" ht="13.5" customHeight="1">
      <c r="A774" s="55"/>
      <c r="B774" s="55"/>
      <c r="C774" s="55"/>
      <c r="D774" s="55"/>
      <c r="E774" s="70"/>
      <c r="F774" s="55"/>
      <c r="G774" s="17"/>
      <c r="H774" s="17"/>
      <c r="I774" s="55"/>
      <c r="J774" s="55"/>
      <c r="K774" s="55"/>
      <c r="L774" s="55"/>
      <c r="M774" s="82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</row>
    <row r="775" spans="1:35" ht="13.5" customHeight="1">
      <c r="A775" s="55"/>
      <c r="B775" s="55"/>
      <c r="C775" s="55"/>
      <c r="D775" s="55"/>
      <c r="E775" s="70"/>
      <c r="F775" s="55"/>
      <c r="G775" s="17"/>
      <c r="H775" s="17"/>
      <c r="I775" s="55"/>
      <c r="J775" s="55"/>
      <c r="K775" s="55"/>
      <c r="L775" s="55"/>
      <c r="M775" s="82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  <c r="AH775" s="55"/>
      <c r="AI775" s="55"/>
    </row>
    <row r="776" spans="1:35" ht="13.5" customHeight="1">
      <c r="A776" s="55"/>
      <c r="B776" s="55"/>
      <c r="C776" s="55"/>
      <c r="D776" s="55"/>
      <c r="E776" s="70"/>
      <c r="F776" s="55"/>
      <c r="G776" s="17"/>
      <c r="H776" s="17"/>
      <c r="I776" s="55"/>
      <c r="J776" s="55"/>
      <c r="K776" s="55"/>
      <c r="L776" s="55"/>
      <c r="M776" s="82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</row>
    <row r="777" spans="1:35" ht="13.5" customHeight="1">
      <c r="A777" s="55"/>
      <c r="B777" s="55"/>
      <c r="C777" s="55"/>
      <c r="D777" s="55"/>
      <c r="E777" s="70"/>
      <c r="F777" s="55"/>
      <c r="G777" s="17"/>
      <c r="H777" s="17"/>
      <c r="I777" s="55"/>
      <c r="J777" s="55"/>
      <c r="K777" s="55"/>
      <c r="L777" s="55"/>
      <c r="M777" s="82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</row>
    <row r="778" spans="1:35" ht="13.5" customHeight="1">
      <c r="A778" s="55"/>
      <c r="B778" s="55"/>
      <c r="C778" s="55"/>
      <c r="D778" s="55"/>
      <c r="E778" s="70"/>
      <c r="F778" s="55"/>
      <c r="G778" s="17"/>
      <c r="H778" s="17"/>
      <c r="I778" s="55"/>
      <c r="J778" s="55"/>
      <c r="K778" s="55"/>
      <c r="L778" s="55"/>
      <c r="M778" s="82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</row>
    <row r="779" spans="1:35" ht="13.5" customHeight="1">
      <c r="A779" s="55"/>
      <c r="B779" s="55"/>
      <c r="C779" s="55"/>
      <c r="D779" s="55"/>
      <c r="E779" s="70"/>
      <c r="F779" s="55"/>
      <c r="G779" s="17"/>
      <c r="H779" s="17"/>
      <c r="I779" s="55"/>
      <c r="J779" s="55"/>
      <c r="K779" s="55"/>
      <c r="L779" s="55"/>
      <c r="M779" s="82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</row>
    <row r="780" spans="1:35" ht="13.5" customHeight="1">
      <c r="A780" s="55"/>
      <c r="B780" s="55"/>
      <c r="C780" s="55"/>
      <c r="D780" s="55"/>
      <c r="E780" s="70"/>
      <c r="F780" s="55"/>
      <c r="G780" s="17"/>
      <c r="H780" s="17"/>
      <c r="I780" s="55"/>
      <c r="J780" s="55"/>
      <c r="K780" s="55"/>
      <c r="L780" s="55"/>
      <c r="M780" s="82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</row>
    <row r="781" spans="1:35" ht="13.5" customHeight="1">
      <c r="A781" s="55"/>
      <c r="B781" s="55"/>
      <c r="C781" s="55"/>
      <c r="D781" s="55"/>
      <c r="E781" s="70"/>
      <c r="F781" s="55"/>
      <c r="G781" s="17"/>
      <c r="H781" s="17"/>
      <c r="I781" s="55"/>
      <c r="J781" s="55"/>
      <c r="K781" s="55"/>
      <c r="L781" s="55"/>
      <c r="M781" s="82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</row>
    <row r="782" spans="1:35" ht="13.5" customHeight="1">
      <c r="A782" s="55"/>
      <c r="B782" s="55"/>
      <c r="C782" s="55"/>
      <c r="D782" s="55"/>
      <c r="E782" s="70"/>
      <c r="F782" s="55"/>
      <c r="G782" s="17"/>
      <c r="H782" s="17"/>
      <c r="I782" s="55"/>
      <c r="J782" s="55"/>
      <c r="K782" s="55"/>
      <c r="L782" s="55"/>
      <c r="M782" s="82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</row>
    <row r="783" spans="1:35" ht="13.5" customHeight="1">
      <c r="A783" s="55"/>
      <c r="B783" s="55"/>
      <c r="C783" s="55"/>
      <c r="D783" s="55"/>
      <c r="E783" s="70"/>
      <c r="F783" s="55"/>
      <c r="G783" s="17"/>
      <c r="H783" s="17"/>
      <c r="I783" s="55"/>
      <c r="J783" s="55"/>
      <c r="K783" s="55"/>
      <c r="L783" s="55"/>
      <c r="M783" s="82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5"/>
      <c r="AH783" s="55"/>
      <c r="AI783" s="55"/>
    </row>
    <row r="784" spans="1:35" ht="13.5" customHeight="1">
      <c r="A784" s="55"/>
      <c r="B784" s="55"/>
      <c r="C784" s="55"/>
      <c r="D784" s="55"/>
      <c r="E784" s="70"/>
      <c r="F784" s="55"/>
      <c r="G784" s="17"/>
      <c r="H784" s="17"/>
      <c r="I784" s="55"/>
      <c r="J784" s="55"/>
      <c r="K784" s="55"/>
      <c r="L784" s="55"/>
      <c r="M784" s="82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</row>
    <row r="785" spans="1:35" ht="13.5" customHeight="1">
      <c r="A785" s="55"/>
      <c r="B785" s="55"/>
      <c r="C785" s="55"/>
      <c r="D785" s="55"/>
      <c r="E785" s="70"/>
      <c r="F785" s="55"/>
      <c r="G785" s="17"/>
      <c r="H785" s="17"/>
      <c r="I785" s="55"/>
      <c r="J785" s="55"/>
      <c r="K785" s="55"/>
      <c r="L785" s="55"/>
      <c r="M785" s="82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</row>
    <row r="786" spans="1:35" ht="13.5" customHeight="1">
      <c r="A786" s="55"/>
      <c r="B786" s="55"/>
      <c r="C786" s="55"/>
      <c r="D786" s="55"/>
      <c r="E786" s="70"/>
      <c r="F786" s="55"/>
      <c r="G786" s="17"/>
      <c r="H786" s="17"/>
      <c r="I786" s="55"/>
      <c r="J786" s="55"/>
      <c r="K786" s="55"/>
      <c r="L786" s="55"/>
      <c r="M786" s="82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</row>
    <row r="787" spans="1:35" ht="13.5" customHeight="1">
      <c r="A787" s="55"/>
      <c r="B787" s="55"/>
      <c r="C787" s="55"/>
      <c r="D787" s="55"/>
      <c r="E787" s="70"/>
      <c r="F787" s="55"/>
      <c r="G787" s="17"/>
      <c r="H787" s="17"/>
      <c r="I787" s="55"/>
      <c r="J787" s="55"/>
      <c r="K787" s="55"/>
      <c r="L787" s="55"/>
      <c r="M787" s="82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</row>
    <row r="788" spans="1:35" ht="13.5" customHeight="1">
      <c r="A788" s="55"/>
      <c r="B788" s="55"/>
      <c r="C788" s="55"/>
      <c r="D788" s="55"/>
      <c r="E788" s="70"/>
      <c r="F788" s="55"/>
      <c r="G788" s="17"/>
      <c r="H788" s="17"/>
      <c r="I788" s="55"/>
      <c r="J788" s="55"/>
      <c r="K788" s="55"/>
      <c r="L788" s="55"/>
      <c r="M788" s="82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</row>
    <row r="789" spans="1:35" ht="13.5" customHeight="1">
      <c r="A789" s="55"/>
      <c r="B789" s="55"/>
      <c r="C789" s="55"/>
      <c r="D789" s="55"/>
      <c r="E789" s="70"/>
      <c r="F789" s="55"/>
      <c r="G789" s="17"/>
      <c r="H789" s="17"/>
      <c r="I789" s="55"/>
      <c r="J789" s="55"/>
      <c r="K789" s="55"/>
      <c r="L789" s="55"/>
      <c r="M789" s="82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</row>
    <row r="790" spans="1:35" ht="13.5" customHeight="1">
      <c r="A790" s="55"/>
      <c r="B790" s="55"/>
      <c r="C790" s="55"/>
      <c r="D790" s="55"/>
      <c r="E790" s="70"/>
      <c r="F790" s="55"/>
      <c r="G790" s="17"/>
      <c r="H790" s="17"/>
      <c r="I790" s="55"/>
      <c r="J790" s="55"/>
      <c r="K790" s="55"/>
      <c r="L790" s="55"/>
      <c r="M790" s="82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</row>
    <row r="791" spans="1:35" ht="13.5" customHeight="1">
      <c r="A791" s="55"/>
      <c r="B791" s="55"/>
      <c r="C791" s="55"/>
      <c r="D791" s="55"/>
      <c r="E791" s="70"/>
      <c r="F791" s="55"/>
      <c r="G791" s="17"/>
      <c r="H791" s="17"/>
      <c r="I791" s="55"/>
      <c r="J791" s="55"/>
      <c r="K791" s="55"/>
      <c r="L791" s="55"/>
      <c r="M791" s="82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</row>
    <row r="792" spans="1:35" ht="13.5" customHeight="1">
      <c r="A792" s="55"/>
      <c r="B792" s="55"/>
      <c r="C792" s="55"/>
      <c r="D792" s="55"/>
      <c r="E792" s="70"/>
      <c r="F792" s="55"/>
      <c r="G792" s="17"/>
      <c r="H792" s="17"/>
      <c r="I792" s="55"/>
      <c r="J792" s="55"/>
      <c r="K792" s="55"/>
      <c r="L792" s="55"/>
      <c r="M792" s="82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</row>
    <row r="793" spans="1:35" ht="13.5" customHeight="1">
      <c r="A793" s="55"/>
      <c r="B793" s="55"/>
      <c r="C793" s="55"/>
      <c r="D793" s="55"/>
      <c r="E793" s="70"/>
      <c r="F793" s="55"/>
      <c r="G793" s="17"/>
      <c r="H793" s="17"/>
      <c r="I793" s="55"/>
      <c r="J793" s="55"/>
      <c r="K793" s="55"/>
      <c r="L793" s="55"/>
      <c r="M793" s="82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</row>
    <row r="794" spans="1:35" ht="13.5" customHeight="1">
      <c r="A794" s="55"/>
      <c r="B794" s="55"/>
      <c r="C794" s="55"/>
      <c r="D794" s="55"/>
      <c r="E794" s="70"/>
      <c r="F794" s="55"/>
      <c r="G794" s="17"/>
      <c r="H794" s="17"/>
      <c r="I794" s="55"/>
      <c r="J794" s="55"/>
      <c r="K794" s="55"/>
      <c r="L794" s="55"/>
      <c r="M794" s="82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</row>
    <row r="795" spans="1:35" ht="13.5" customHeight="1">
      <c r="A795" s="55"/>
      <c r="B795" s="55"/>
      <c r="C795" s="55"/>
      <c r="D795" s="55"/>
      <c r="E795" s="70"/>
      <c r="F795" s="55"/>
      <c r="G795" s="17"/>
      <c r="H795" s="17"/>
      <c r="I795" s="55"/>
      <c r="J795" s="55"/>
      <c r="K795" s="55"/>
      <c r="L795" s="55"/>
      <c r="M795" s="82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</row>
    <row r="796" spans="1:35" ht="13.5" customHeight="1">
      <c r="A796" s="55"/>
      <c r="B796" s="55"/>
      <c r="C796" s="55"/>
      <c r="D796" s="55"/>
      <c r="E796" s="70"/>
      <c r="F796" s="55"/>
      <c r="G796" s="17"/>
      <c r="H796" s="17"/>
      <c r="I796" s="55"/>
      <c r="J796" s="55"/>
      <c r="K796" s="55"/>
      <c r="L796" s="55"/>
      <c r="M796" s="82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</row>
    <row r="797" spans="1:35" ht="13.5" customHeight="1">
      <c r="A797" s="55"/>
      <c r="B797" s="55"/>
      <c r="C797" s="55"/>
      <c r="D797" s="55"/>
      <c r="E797" s="70"/>
      <c r="F797" s="55"/>
      <c r="G797" s="17"/>
      <c r="H797" s="17"/>
      <c r="I797" s="55"/>
      <c r="J797" s="55"/>
      <c r="K797" s="55"/>
      <c r="L797" s="55"/>
      <c r="M797" s="82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</row>
    <row r="798" spans="1:35" ht="13.5" customHeight="1">
      <c r="A798" s="55"/>
      <c r="B798" s="55"/>
      <c r="C798" s="55"/>
      <c r="D798" s="55"/>
      <c r="E798" s="70"/>
      <c r="F798" s="55"/>
      <c r="G798" s="17"/>
      <c r="H798" s="17"/>
      <c r="I798" s="55"/>
      <c r="J798" s="55"/>
      <c r="K798" s="55"/>
      <c r="L798" s="55"/>
      <c r="M798" s="82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</row>
    <row r="799" spans="1:35" ht="13.5" customHeight="1">
      <c r="A799" s="55"/>
      <c r="B799" s="55"/>
      <c r="C799" s="55"/>
      <c r="D799" s="55"/>
      <c r="E799" s="70"/>
      <c r="F799" s="55"/>
      <c r="G799" s="17"/>
      <c r="H799" s="17"/>
      <c r="I799" s="55"/>
      <c r="J799" s="55"/>
      <c r="K799" s="55"/>
      <c r="L799" s="55"/>
      <c r="M799" s="82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</row>
    <row r="800" spans="1:35" ht="13.5" customHeight="1">
      <c r="A800" s="55"/>
      <c r="B800" s="55"/>
      <c r="C800" s="55"/>
      <c r="D800" s="55"/>
      <c r="E800" s="70"/>
      <c r="F800" s="55"/>
      <c r="G800" s="17"/>
      <c r="H800" s="17"/>
      <c r="I800" s="55"/>
      <c r="J800" s="55"/>
      <c r="K800" s="55"/>
      <c r="L800" s="55"/>
      <c r="M800" s="82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</row>
    <row r="801" spans="1:35" ht="13.5" customHeight="1">
      <c r="A801" s="55"/>
      <c r="B801" s="55"/>
      <c r="C801" s="55"/>
      <c r="D801" s="55"/>
      <c r="E801" s="70"/>
      <c r="F801" s="55"/>
      <c r="G801" s="17"/>
      <c r="H801" s="17"/>
      <c r="I801" s="55"/>
      <c r="J801" s="55"/>
      <c r="K801" s="55"/>
      <c r="L801" s="55"/>
      <c r="M801" s="82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</row>
    <row r="802" spans="1:35" ht="13.5" customHeight="1">
      <c r="A802" s="55"/>
      <c r="B802" s="55"/>
      <c r="C802" s="55"/>
      <c r="D802" s="55"/>
      <c r="E802" s="70"/>
      <c r="F802" s="55"/>
      <c r="G802" s="17"/>
      <c r="H802" s="17"/>
      <c r="I802" s="55"/>
      <c r="J802" s="55"/>
      <c r="K802" s="55"/>
      <c r="L802" s="55"/>
      <c r="M802" s="82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</row>
    <row r="803" spans="1:35" ht="13.5" customHeight="1">
      <c r="A803" s="55"/>
      <c r="B803" s="55"/>
      <c r="C803" s="55"/>
      <c r="D803" s="55"/>
      <c r="E803" s="70"/>
      <c r="F803" s="55"/>
      <c r="G803" s="17"/>
      <c r="H803" s="17"/>
      <c r="I803" s="55"/>
      <c r="J803" s="55"/>
      <c r="K803" s="55"/>
      <c r="L803" s="55"/>
      <c r="M803" s="82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</row>
    <row r="804" spans="1:35" ht="13.5" customHeight="1">
      <c r="A804" s="55"/>
      <c r="B804" s="55"/>
      <c r="C804" s="55"/>
      <c r="D804" s="55"/>
      <c r="E804" s="70"/>
      <c r="F804" s="55"/>
      <c r="G804" s="17"/>
      <c r="H804" s="17"/>
      <c r="I804" s="55"/>
      <c r="J804" s="55"/>
      <c r="K804" s="55"/>
      <c r="L804" s="55"/>
      <c r="M804" s="82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</row>
    <row r="805" spans="1:35" ht="13.5" customHeight="1">
      <c r="A805" s="55"/>
      <c r="B805" s="55"/>
      <c r="C805" s="55"/>
      <c r="D805" s="55"/>
      <c r="E805" s="70"/>
      <c r="F805" s="55"/>
      <c r="G805" s="17"/>
      <c r="H805" s="17"/>
      <c r="I805" s="55"/>
      <c r="J805" s="55"/>
      <c r="K805" s="55"/>
      <c r="L805" s="55"/>
      <c r="M805" s="82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</row>
    <row r="806" spans="1:35" ht="13.5" customHeight="1">
      <c r="A806" s="55"/>
      <c r="B806" s="55"/>
      <c r="C806" s="55"/>
      <c r="D806" s="55"/>
      <c r="E806" s="70"/>
      <c r="F806" s="55"/>
      <c r="G806" s="17"/>
      <c r="H806" s="17"/>
      <c r="I806" s="55"/>
      <c r="J806" s="55"/>
      <c r="K806" s="55"/>
      <c r="L806" s="55"/>
      <c r="M806" s="82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</row>
    <row r="807" spans="1:35" ht="13.5" customHeight="1">
      <c r="A807" s="55"/>
      <c r="B807" s="55"/>
      <c r="C807" s="55"/>
      <c r="D807" s="55"/>
      <c r="E807" s="70"/>
      <c r="F807" s="55"/>
      <c r="G807" s="17"/>
      <c r="H807" s="17"/>
      <c r="I807" s="55"/>
      <c r="J807" s="55"/>
      <c r="K807" s="55"/>
      <c r="L807" s="55"/>
      <c r="M807" s="82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</row>
    <row r="808" spans="1:35" ht="13.5" customHeight="1">
      <c r="A808" s="55"/>
      <c r="B808" s="55"/>
      <c r="C808" s="55"/>
      <c r="D808" s="55"/>
      <c r="E808" s="70"/>
      <c r="F808" s="55"/>
      <c r="G808" s="17"/>
      <c r="H808" s="17"/>
      <c r="I808" s="55"/>
      <c r="J808" s="55"/>
      <c r="K808" s="55"/>
      <c r="L808" s="55"/>
      <c r="M808" s="82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</row>
    <row r="809" spans="1:35" ht="13.5" customHeight="1">
      <c r="A809" s="55"/>
      <c r="B809" s="55"/>
      <c r="C809" s="55"/>
      <c r="D809" s="55"/>
      <c r="E809" s="70"/>
      <c r="F809" s="55"/>
      <c r="G809" s="17"/>
      <c r="H809" s="17"/>
      <c r="I809" s="55"/>
      <c r="J809" s="55"/>
      <c r="K809" s="55"/>
      <c r="L809" s="55"/>
      <c r="M809" s="82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</row>
    <row r="810" spans="1:35" ht="13.5" customHeight="1">
      <c r="A810" s="55"/>
      <c r="B810" s="55"/>
      <c r="C810" s="55"/>
      <c r="D810" s="55"/>
      <c r="E810" s="70"/>
      <c r="F810" s="55"/>
      <c r="G810" s="17"/>
      <c r="H810" s="17"/>
      <c r="I810" s="55"/>
      <c r="J810" s="55"/>
      <c r="K810" s="55"/>
      <c r="L810" s="55"/>
      <c r="M810" s="82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</row>
    <row r="811" spans="1:35" ht="13.5" customHeight="1">
      <c r="A811" s="55"/>
      <c r="B811" s="55"/>
      <c r="C811" s="55"/>
      <c r="D811" s="55"/>
      <c r="E811" s="70"/>
      <c r="F811" s="55"/>
      <c r="G811" s="17"/>
      <c r="H811" s="17"/>
      <c r="I811" s="55"/>
      <c r="J811" s="55"/>
      <c r="K811" s="55"/>
      <c r="L811" s="55"/>
      <c r="M811" s="82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</row>
    <row r="812" spans="1:35" ht="13.5" customHeight="1">
      <c r="A812" s="55"/>
      <c r="B812" s="55"/>
      <c r="C812" s="55"/>
      <c r="D812" s="55"/>
      <c r="E812" s="70"/>
      <c r="F812" s="55"/>
      <c r="G812" s="17"/>
      <c r="H812" s="17"/>
      <c r="I812" s="55"/>
      <c r="J812" s="55"/>
      <c r="K812" s="55"/>
      <c r="L812" s="55"/>
      <c r="M812" s="82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55"/>
      <c r="AI812" s="55"/>
    </row>
    <row r="813" spans="1:35" ht="13.5" customHeight="1">
      <c r="A813" s="55"/>
      <c r="B813" s="55"/>
      <c r="C813" s="55"/>
      <c r="D813" s="55"/>
      <c r="E813" s="70"/>
      <c r="F813" s="55"/>
      <c r="G813" s="17"/>
      <c r="H813" s="17"/>
      <c r="I813" s="55"/>
      <c r="J813" s="55"/>
      <c r="K813" s="55"/>
      <c r="L813" s="55"/>
      <c r="M813" s="82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</row>
    <row r="814" spans="1:35" ht="13.5" customHeight="1">
      <c r="A814" s="55"/>
      <c r="B814" s="55"/>
      <c r="C814" s="55"/>
      <c r="D814" s="55"/>
      <c r="E814" s="70"/>
      <c r="F814" s="55"/>
      <c r="G814" s="17"/>
      <c r="H814" s="17"/>
      <c r="I814" s="55"/>
      <c r="J814" s="55"/>
      <c r="K814" s="55"/>
      <c r="L814" s="55"/>
      <c r="M814" s="82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  <c r="AH814" s="55"/>
      <c r="AI814" s="55"/>
    </row>
    <row r="815" spans="1:35" ht="13.5" customHeight="1">
      <c r="A815" s="55"/>
      <c r="B815" s="55"/>
      <c r="C815" s="55"/>
      <c r="D815" s="55"/>
      <c r="E815" s="70"/>
      <c r="F815" s="55"/>
      <c r="G815" s="17"/>
      <c r="H815" s="17"/>
      <c r="I815" s="55"/>
      <c r="J815" s="55"/>
      <c r="K815" s="55"/>
      <c r="L815" s="55"/>
      <c r="M815" s="82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</row>
    <row r="816" spans="1:35" ht="13.5" customHeight="1">
      <c r="A816" s="55"/>
      <c r="B816" s="55"/>
      <c r="C816" s="55"/>
      <c r="D816" s="55"/>
      <c r="E816" s="70"/>
      <c r="F816" s="55"/>
      <c r="G816" s="17"/>
      <c r="H816" s="17"/>
      <c r="I816" s="55"/>
      <c r="J816" s="55"/>
      <c r="K816" s="55"/>
      <c r="L816" s="55"/>
      <c r="M816" s="82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</row>
    <row r="817" spans="1:35" ht="13.5" customHeight="1">
      <c r="A817" s="55"/>
      <c r="B817" s="55"/>
      <c r="C817" s="55"/>
      <c r="D817" s="55"/>
      <c r="E817" s="70"/>
      <c r="F817" s="55"/>
      <c r="G817" s="17"/>
      <c r="H817" s="17"/>
      <c r="I817" s="55"/>
      <c r="J817" s="55"/>
      <c r="K817" s="55"/>
      <c r="L817" s="55"/>
      <c r="M817" s="82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</row>
    <row r="818" spans="1:35" ht="13.5" customHeight="1">
      <c r="A818" s="55"/>
      <c r="B818" s="55"/>
      <c r="C818" s="55"/>
      <c r="D818" s="55"/>
      <c r="E818" s="70"/>
      <c r="F818" s="55"/>
      <c r="G818" s="17"/>
      <c r="H818" s="17"/>
      <c r="I818" s="55"/>
      <c r="J818" s="55"/>
      <c r="K818" s="55"/>
      <c r="L818" s="55"/>
      <c r="M818" s="82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</row>
    <row r="819" spans="1:35" ht="13.5" customHeight="1">
      <c r="A819" s="55"/>
      <c r="B819" s="55"/>
      <c r="C819" s="55"/>
      <c r="D819" s="55"/>
      <c r="E819" s="70"/>
      <c r="F819" s="55"/>
      <c r="G819" s="17"/>
      <c r="H819" s="17"/>
      <c r="I819" s="55"/>
      <c r="J819" s="55"/>
      <c r="K819" s="55"/>
      <c r="L819" s="55"/>
      <c r="M819" s="82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</row>
    <row r="820" spans="1:35" ht="13.5" customHeight="1">
      <c r="A820" s="55"/>
      <c r="B820" s="55"/>
      <c r="C820" s="55"/>
      <c r="D820" s="55"/>
      <c r="E820" s="70"/>
      <c r="F820" s="55"/>
      <c r="G820" s="17"/>
      <c r="H820" s="17"/>
      <c r="I820" s="55"/>
      <c r="J820" s="55"/>
      <c r="K820" s="55"/>
      <c r="L820" s="55"/>
      <c r="M820" s="82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  <c r="AH820" s="55"/>
      <c r="AI820" s="55"/>
    </row>
    <row r="821" spans="1:35" ht="13.5" customHeight="1">
      <c r="A821" s="55"/>
      <c r="B821" s="55"/>
      <c r="C821" s="55"/>
      <c r="D821" s="55"/>
      <c r="E821" s="70"/>
      <c r="F821" s="55"/>
      <c r="G821" s="17"/>
      <c r="H821" s="17"/>
      <c r="I821" s="55"/>
      <c r="J821" s="55"/>
      <c r="K821" s="55"/>
      <c r="L821" s="55"/>
      <c r="M821" s="82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F821" s="55"/>
      <c r="AG821" s="55"/>
      <c r="AH821" s="55"/>
      <c r="AI821" s="55"/>
    </row>
    <row r="822" spans="1:35" ht="13.5" customHeight="1">
      <c r="A822" s="55"/>
      <c r="B822" s="55"/>
      <c r="C822" s="55"/>
      <c r="D822" s="55"/>
      <c r="E822" s="70"/>
      <c r="F822" s="55"/>
      <c r="G822" s="17"/>
      <c r="H822" s="17"/>
      <c r="I822" s="55"/>
      <c r="J822" s="55"/>
      <c r="K822" s="55"/>
      <c r="L822" s="55"/>
      <c r="M822" s="82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</row>
    <row r="823" spans="1:35" ht="13.5" customHeight="1">
      <c r="A823" s="55"/>
      <c r="B823" s="55"/>
      <c r="C823" s="55"/>
      <c r="D823" s="55"/>
      <c r="E823" s="70"/>
      <c r="F823" s="55"/>
      <c r="G823" s="17"/>
      <c r="H823" s="17"/>
      <c r="I823" s="55"/>
      <c r="J823" s="55"/>
      <c r="K823" s="55"/>
      <c r="L823" s="55"/>
      <c r="M823" s="82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</row>
    <row r="824" spans="1:35" ht="13.5" customHeight="1">
      <c r="A824" s="55"/>
      <c r="B824" s="55"/>
      <c r="C824" s="55"/>
      <c r="D824" s="55"/>
      <c r="E824" s="70"/>
      <c r="F824" s="55"/>
      <c r="G824" s="17"/>
      <c r="H824" s="17"/>
      <c r="I824" s="55"/>
      <c r="J824" s="55"/>
      <c r="K824" s="55"/>
      <c r="L824" s="55"/>
      <c r="M824" s="82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</row>
    <row r="825" spans="1:35" ht="13.5" customHeight="1">
      <c r="A825" s="55"/>
      <c r="B825" s="55"/>
      <c r="C825" s="55"/>
      <c r="D825" s="55"/>
      <c r="E825" s="70"/>
      <c r="F825" s="55"/>
      <c r="G825" s="17"/>
      <c r="H825" s="17"/>
      <c r="I825" s="55"/>
      <c r="J825" s="55"/>
      <c r="K825" s="55"/>
      <c r="L825" s="55"/>
      <c r="M825" s="82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  <c r="AH825" s="55"/>
      <c r="AI825" s="55"/>
    </row>
    <row r="826" spans="1:35" ht="13.5" customHeight="1">
      <c r="A826" s="55"/>
      <c r="B826" s="55"/>
      <c r="C826" s="55"/>
      <c r="D826" s="55"/>
      <c r="E826" s="70"/>
      <c r="F826" s="55"/>
      <c r="G826" s="17"/>
      <c r="H826" s="17"/>
      <c r="I826" s="55"/>
      <c r="J826" s="55"/>
      <c r="K826" s="55"/>
      <c r="L826" s="55"/>
      <c r="M826" s="82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</row>
    <row r="827" spans="1:35" ht="13.5" customHeight="1">
      <c r="A827" s="55"/>
      <c r="B827" s="55"/>
      <c r="C827" s="55"/>
      <c r="D827" s="55"/>
      <c r="E827" s="70"/>
      <c r="F827" s="55"/>
      <c r="G827" s="17"/>
      <c r="H827" s="17"/>
      <c r="I827" s="55"/>
      <c r="J827" s="55"/>
      <c r="K827" s="55"/>
      <c r="L827" s="55"/>
      <c r="M827" s="82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</row>
    <row r="828" spans="1:35" ht="13.5" customHeight="1">
      <c r="A828" s="55"/>
      <c r="B828" s="55"/>
      <c r="C828" s="55"/>
      <c r="D828" s="55"/>
      <c r="E828" s="70"/>
      <c r="F828" s="55"/>
      <c r="G828" s="17"/>
      <c r="H828" s="17"/>
      <c r="I828" s="55"/>
      <c r="J828" s="55"/>
      <c r="K828" s="55"/>
      <c r="L828" s="55"/>
      <c r="M828" s="82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</row>
    <row r="829" spans="1:35" ht="13.5" customHeight="1">
      <c r="A829" s="55"/>
      <c r="B829" s="55"/>
      <c r="C829" s="55"/>
      <c r="D829" s="55"/>
      <c r="E829" s="70"/>
      <c r="F829" s="55"/>
      <c r="G829" s="17"/>
      <c r="H829" s="17"/>
      <c r="I829" s="55"/>
      <c r="J829" s="55"/>
      <c r="K829" s="55"/>
      <c r="L829" s="55"/>
      <c r="M829" s="82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</row>
    <row r="830" spans="1:35" ht="13.5" customHeight="1">
      <c r="A830" s="55"/>
      <c r="B830" s="55"/>
      <c r="C830" s="55"/>
      <c r="D830" s="55"/>
      <c r="E830" s="70"/>
      <c r="F830" s="55"/>
      <c r="G830" s="17"/>
      <c r="H830" s="17"/>
      <c r="I830" s="55"/>
      <c r="J830" s="55"/>
      <c r="K830" s="55"/>
      <c r="L830" s="55"/>
      <c r="M830" s="82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</row>
    <row r="831" spans="1:35" ht="13.5" customHeight="1">
      <c r="A831" s="55"/>
      <c r="B831" s="55"/>
      <c r="C831" s="55"/>
      <c r="D831" s="55"/>
      <c r="E831" s="70"/>
      <c r="F831" s="55"/>
      <c r="G831" s="17"/>
      <c r="H831" s="17"/>
      <c r="I831" s="55"/>
      <c r="J831" s="55"/>
      <c r="K831" s="55"/>
      <c r="L831" s="55"/>
      <c r="M831" s="82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</row>
    <row r="832" spans="1:35" ht="13.5" customHeight="1">
      <c r="A832" s="55"/>
      <c r="B832" s="55"/>
      <c r="C832" s="55"/>
      <c r="D832" s="55"/>
      <c r="E832" s="70"/>
      <c r="F832" s="55"/>
      <c r="G832" s="17"/>
      <c r="H832" s="17"/>
      <c r="I832" s="55"/>
      <c r="J832" s="55"/>
      <c r="K832" s="55"/>
      <c r="L832" s="55"/>
      <c r="M832" s="82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</row>
    <row r="833" spans="1:35" ht="13.5" customHeight="1">
      <c r="A833" s="55"/>
      <c r="B833" s="55"/>
      <c r="C833" s="55"/>
      <c r="D833" s="55"/>
      <c r="E833" s="70"/>
      <c r="F833" s="55"/>
      <c r="G833" s="17"/>
      <c r="H833" s="17"/>
      <c r="I833" s="55"/>
      <c r="J833" s="55"/>
      <c r="K833" s="55"/>
      <c r="L833" s="55"/>
      <c r="M833" s="82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</row>
    <row r="834" spans="1:35" ht="13.5" customHeight="1">
      <c r="A834" s="55"/>
      <c r="B834" s="55"/>
      <c r="C834" s="55"/>
      <c r="D834" s="55"/>
      <c r="E834" s="70"/>
      <c r="F834" s="55"/>
      <c r="G834" s="17"/>
      <c r="H834" s="17"/>
      <c r="I834" s="55"/>
      <c r="J834" s="55"/>
      <c r="K834" s="55"/>
      <c r="L834" s="55"/>
      <c r="M834" s="82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</row>
    <row r="835" spans="1:35" ht="13.5" customHeight="1">
      <c r="A835" s="55"/>
      <c r="B835" s="55"/>
      <c r="C835" s="55"/>
      <c r="D835" s="55"/>
      <c r="E835" s="70"/>
      <c r="F835" s="55"/>
      <c r="G835" s="17"/>
      <c r="H835" s="17"/>
      <c r="I835" s="55"/>
      <c r="J835" s="55"/>
      <c r="K835" s="55"/>
      <c r="L835" s="55"/>
      <c r="M835" s="82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</row>
    <row r="836" spans="1:35" ht="13.5" customHeight="1">
      <c r="A836" s="55"/>
      <c r="B836" s="55"/>
      <c r="C836" s="55"/>
      <c r="D836" s="55"/>
      <c r="E836" s="70"/>
      <c r="F836" s="55"/>
      <c r="G836" s="17"/>
      <c r="H836" s="17"/>
      <c r="I836" s="55"/>
      <c r="J836" s="55"/>
      <c r="K836" s="55"/>
      <c r="L836" s="55"/>
      <c r="M836" s="82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</row>
    <row r="837" spans="1:35" ht="13.5" customHeight="1">
      <c r="A837" s="55"/>
      <c r="B837" s="55"/>
      <c r="C837" s="55"/>
      <c r="D837" s="55"/>
      <c r="E837" s="70"/>
      <c r="F837" s="55"/>
      <c r="G837" s="17"/>
      <c r="H837" s="17"/>
      <c r="I837" s="55"/>
      <c r="J837" s="55"/>
      <c r="K837" s="55"/>
      <c r="L837" s="55"/>
      <c r="M837" s="82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  <c r="AH837" s="55"/>
      <c r="AI837" s="55"/>
    </row>
    <row r="838" spans="1:35" ht="13.5" customHeight="1">
      <c r="A838" s="55"/>
      <c r="B838" s="55"/>
      <c r="C838" s="55"/>
      <c r="D838" s="55"/>
      <c r="E838" s="70"/>
      <c r="F838" s="55"/>
      <c r="G838" s="17"/>
      <c r="H838" s="17"/>
      <c r="I838" s="55"/>
      <c r="J838" s="55"/>
      <c r="K838" s="55"/>
      <c r="L838" s="55"/>
      <c r="M838" s="82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</row>
    <row r="839" spans="1:35" ht="13.5" customHeight="1">
      <c r="A839" s="55"/>
      <c r="B839" s="55"/>
      <c r="C839" s="55"/>
      <c r="D839" s="55"/>
      <c r="E839" s="70"/>
      <c r="F839" s="55"/>
      <c r="G839" s="17"/>
      <c r="H839" s="17"/>
      <c r="I839" s="55"/>
      <c r="J839" s="55"/>
      <c r="K839" s="55"/>
      <c r="L839" s="55"/>
      <c r="M839" s="82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  <c r="AH839" s="55"/>
      <c r="AI839" s="55"/>
    </row>
    <row r="840" spans="1:35" ht="13.5" customHeight="1">
      <c r="A840" s="55"/>
      <c r="B840" s="55"/>
      <c r="C840" s="55"/>
      <c r="D840" s="55"/>
      <c r="E840" s="70"/>
      <c r="F840" s="55"/>
      <c r="G840" s="17"/>
      <c r="H840" s="17"/>
      <c r="I840" s="55"/>
      <c r="J840" s="55"/>
      <c r="K840" s="55"/>
      <c r="L840" s="55"/>
      <c r="M840" s="82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F840" s="55"/>
      <c r="AG840" s="55"/>
      <c r="AH840" s="55"/>
      <c r="AI840" s="55"/>
    </row>
    <row r="841" spans="1:35" ht="13.5" customHeight="1">
      <c r="A841" s="55"/>
      <c r="B841" s="55"/>
      <c r="C841" s="55"/>
      <c r="D841" s="55"/>
      <c r="E841" s="70"/>
      <c r="F841" s="55"/>
      <c r="G841" s="17"/>
      <c r="H841" s="17"/>
      <c r="I841" s="55"/>
      <c r="J841" s="55"/>
      <c r="K841" s="55"/>
      <c r="L841" s="55"/>
      <c r="M841" s="82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</row>
    <row r="842" spans="1:35" ht="13.5" customHeight="1">
      <c r="A842" s="55"/>
      <c r="B842" s="55"/>
      <c r="C842" s="55"/>
      <c r="D842" s="55"/>
      <c r="E842" s="70"/>
      <c r="F842" s="55"/>
      <c r="G842" s="17"/>
      <c r="H842" s="17"/>
      <c r="I842" s="55"/>
      <c r="J842" s="55"/>
      <c r="K842" s="55"/>
      <c r="L842" s="55"/>
      <c r="M842" s="82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  <c r="AH842" s="55"/>
      <c r="AI842" s="55"/>
    </row>
    <row r="843" spans="1:35" ht="13.5" customHeight="1">
      <c r="A843" s="55"/>
      <c r="B843" s="55"/>
      <c r="C843" s="55"/>
      <c r="D843" s="55"/>
      <c r="E843" s="70"/>
      <c r="F843" s="55"/>
      <c r="G843" s="17"/>
      <c r="H843" s="17"/>
      <c r="I843" s="55"/>
      <c r="J843" s="55"/>
      <c r="K843" s="55"/>
      <c r="L843" s="55"/>
      <c r="M843" s="82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F843" s="55"/>
      <c r="AG843" s="55"/>
      <c r="AH843" s="55"/>
      <c r="AI843" s="55"/>
    </row>
    <row r="844" spans="1:35" ht="13.5" customHeight="1">
      <c r="A844" s="55"/>
      <c r="B844" s="55"/>
      <c r="C844" s="55"/>
      <c r="D844" s="55"/>
      <c r="E844" s="70"/>
      <c r="F844" s="55"/>
      <c r="G844" s="17"/>
      <c r="H844" s="17"/>
      <c r="I844" s="55"/>
      <c r="J844" s="55"/>
      <c r="K844" s="55"/>
      <c r="L844" s="55"/>
      <c r="M844" s="82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F844" s="55"/>
      <c r="AG844" s="55"/>
      <c r="AH844" s="55"/>
      <c r="AI844" s="55"/>
    </row>
    <row r="845" spans="1:35" ht="13.5" customHeight="1">
      <c r="A845" s="55"/>
      <c r="B845" s="55"/>
      <c r="C845" s="55"/>
      <c r="D845" s="55"/>
      <c r="E845" s="70"/>
      <c r="F845" s="55"/>
      <c r="G845" s="17"/>
      <c r="H845" s="17"/>
      <c r="I845" s="55"/>
      <c r="J845" s="55"/>
      <c r="K845" s="55"/>
      <c r="L845" s="55"/>
      <c r="M845" s="82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  <c r="AH845" s="55"/>
      <c r="AI845" s="55"/>
    </row>
    <row r="846" spans="1:35" ht="13.5" customHeight="1">
      <c r="A846" s="55"/>
      <c r="B846" s="55"/>
      <c r="C846" s="55"/>
      <c r="D846" s="55"/>
      <c r="E846" s="70"/>
      <c r="F846" s="55"/>
      <c r="G846" s="17"/>
      <c r="H846" s="17"/>
      <c r="I846" s="55"/>
      <c r="J846" s="55"/>
      <c r="K846" s="55"/>
      <c r="L846" s="55"/>
      <c r="M846" s="82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</row>
    <row r="847" spans="1:35" ht="13.5" customHeight="1">
      <c r="A847" s="55"/>
      <c r="B847" s="55"/>
      <c r="C847" s="55"/>
      <c r="D847" s="55"/>
      <c r="E847" s="70"/>
      <c r="F847" s="55"/>
      <c r="G847" s="17"/>
      <c r="H847" s="17"/>
      <c r="I847" s="55"/>
      <c r="J847" s="55"/>
      <c r="K847" s="55"/>
      <c r="L847" s="55"/>
      <c r="M847" s="82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  <c r="AH847" s="55"/>
      <c r="AI847" s="55"/>
    </row>
    <row r="848" spans="1:35" ht="13.5" customHeight="1">
      <c r="A848" s="55"/>
      <c r="B848" s="55"/>
      <c r="C848" s="55"/>
      <c r="D848" s="55"/>
      <c r="E848" s="70"/>
      <c r="F848" s="55"/>
      <c r="G848" s="17"/>
      <c r="H848" s="17"/>
      <c r="I848" s="55"/>
      <c r="J848" s="55"/>
      <c r="K848" s="55"/>
      <c r="L848" s="55"/>
      <c r="M848" s="82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</row>
    <row r="849" spans="1:35" ht="13.5" customHeight="1">
      <c r="A849" s="55"/>
      <c r="B849" s="55"/>
      <c r="C849" s="55"/>
      <c r="D849" s="55"/>
      <c r="E849" s="70"/>
      <c r="F849" s="55"/>
      <c r="G849" s="17"/>
      <c r="H849" s="17"/>
      <c r="I849" s="55"/>
      <c r="J849" s="55"/>
      <c r="K849" s="55"/>
      <c r="L849" s="55"/>
      <c r="M849" s="82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  <c r="AH849" s="55"/>
      <c r="AI849" s="55"/>
    </row>
    <row r="850" spans="1:35" ht="13.5" customHeight="1">
      <c r="A850" s="55"/>
      <c r="B850" s="55"/>
      <c r="C850" s="55"/>
      <c r="D850" s="55"/>
      <c r="E850" s="70"/>
      <c r="F850" s="55"/>
      <c r="G850" s="17"/>
      <c r="H850" s="17"/>
      <c r="I850" s="55"/>
      <c r="J850" s="55"/>
      <c r="K850" s="55"/>
      <c r="L850" s="55"/>
      <c r="M850" s="82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  <c r="AH850" s="55"/>
      <c r="AI850" s="55"/>
    </row>
    <row r="851" spans="1:35" ht="13.5" customHeight="1">
      <c r="A851" s="55"/>
      <c r="B851" s="55"/>
      <c r="C851" s="55"/>
      <c r="D851" s="55"/>
      <c r="E851" s="70"/>
      <c r="F851" s="55"/>
      <c r="G851" s="17"/>
      <c r="H851" s="17"/>
      <c r="I851" s="55"/>
      <c r="J851" s="55"/>
      <c r="K851" s="55"/>
      <c r="L851" s="55"/>
      <c r="M851" s="82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  <c r="AH851" s="55"/>
      <c r="AI851" s="55"/>
    </row>
    <row r="852" spans="1:35" ht="13.5" customHeight="1">
      <c r="A852" s="55"/>
      <c r="B852" s="55"/>
      <c r="C852" s="55"/>
      <c r="D852" s="55"/>
      <c r="E852" s="70"/>
      <c r="F852" s="55"/>
      <c r="G852" s="17"/>
      <c r="H852" s="17"/>
      <c r="I852" s="55"/>
      <c r="J852" s="55"/>
      <c r="K852" s="55"/>
      <c r="L852" s="55"/>
      <c r="M852" s="82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  <c r="AH852" s="55"/>
      <c r="AI852" s="55"/>
    </row>
    <row r="853" spans="1:35" ht="13.5" customHeight="1">
      <c r="A853" s="55"/>
      <c r="B853" s="55"/>
      <c r="C853" s="55"/>
      <c r="D853" s="55"/>
      <c r="E853" s="70"/>
      <c r="F853" s="55"/>
      <c r="G853" s="17"/>
      <c r="H853" s="17"/>
      <c r="I853" s="55"/>
      <c r="J853" s="55"/>
      <c r="K853" s="55"/>
      <c r="L853" s="55"/>
      <c r="M853" s="82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</row>
    <row r="854" spans="1:35" ht="13.5" customHeight="1">
      <c r="A854" s="55"/>
      <c r="B854" s="55"/>
      <c r="C854" s="55"/>
      <c r="D854" s="55"/>
      <c r="E854" s="70"/>
      <c r="F854" s="55"/>
      <c r="G854" s="17"/>
      <c r="H854" s="17"/>
      <c r="I854" s="55"/>
      <c r="J854" s="55"/>
      <c r="K854" s="55"/>
      <c r="L854" s="55"/>
      <c r="M854" s="82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  <c r="AH854" s="55"/>
      <c r="AI854" s="55"/>
    </row>
    <row r="855" spans="1:35" ht="13.5" customHeight="1">
      <c r="A855" s="55"/>
      <c r="B855" s="55"/>
      <c r="C855" s="55"/>
      <c r="D855" s="55"/>
      <c r="E855" s="70"/>
      <c r="F855" s="55"/>
      <c r="G855" s="17"/>
      <c r="H855" s="17"/>
      <c r="I855" s="55"/>
      <c r="J855" s="55"/>
      <c r="K855" s="55"/>
      <c r="L855" s="55"/>
      <c r="M855" s="82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</row>
    <row r="856" spans="1:35" ht="13.5" customHeight="1">
      <c r="A856" s="55"/>
      <c r="B856" s="55"/>
      <c r="C856" s="55"/>
      <c r="D856" s="55"/>
      <c r="E856" s="70"/>
      <c r="F856" s="55"/>
      <c r="G856" s="17"/>
      <c r="H856" s="17"/>
      <c r="I856" s="55"/>
      <c r="J856" s="55"/>
      <c r="K856" s="55"/>
      <c r="L856" s="55"/>
      <c r="M856" s="82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</row>
    <row r="857" spans="1:35" ht="13.5" customHeight="1">
      <c r="A857" s="55"/>
      <c r="B857" s="55"/>
      <c r="C857" s="55"/>
      <c r="D857" s="55"/>
      <c r="E857" s="70"/>
      <c r="F857" s="55"/>
      <c r="G857" s="17"/>
      <c r="H857" s="17"/>
      <c r="I857" s="55"/>
      <c r="J857" s="55"/>
      <c r="K857" s="55"/>
      <c r="L857" s="55"/>
      <c r="M857" s="82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  <c r="AH857" s="55"/>
      <c r="AI857" s="55"/>
    </row>
    <row r="858" spans="1:35" ht="13.5" customHeight="1">
      <c r="A858" s="55"/>
      <c r="B858" s="55"/>
      <c r="C858" s="55"/>
      <c r="D858" s="55"/>
      <c r="E858" s="70"/>
      <c r="F858" s="55"/>
      <c r="G858" s="17"/>
      <c r="H858" s="17"/>
      <c r="I858" s="55"/>
      <c r="J858" s="55"/>
      <c r="K858" s="55"/>
      <c r="L858" s="55"/>
      <c r="M858" s="82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F858" s="55"/>
      <c r="AG858" s="55"/>
      <c r="AH858" s="55"/>
      <c r="AI858" s="55"/>
    </row>
    <row r="859" spans="1:35" ht="13.5" customHeight="1">
      <c r="A859" s="55"/>
      <c r="B859" s="55"/>
      <c r="C859" s="55"/>
      <c r="D859" s="55"/>
      <c r="E859" s="70"/>
      <c r="F859" s="55"/>
      <c r="G859" s="17"/>
      <c r="H859" s="17"/>
      <c r="I859" s="55"/>
      <c r="J859" s="55"/>
      <c r="K859" s="55"/>
      <c r="L859" s="55"/>
      <c r="M859" s="82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F859" s="55"/>
      <c r="AG859" s="55"/>
      <c r="AH859" s="55"/>
      <c r="AI859" s="55"/>
    </row>
    <row r="860" spans="1:35" ht="13.5" customHeight="1">
      <c r="A860" s="55"/>
      <c r="B860" s="55"/>
      <c r="C860" s="55"/>
      <c r="D860" s="55"/>
      <c r="E860" s="70"/>
      <c r="F860" s="55"/>
      <c r="G860" s="17"/>
      <c r="H860" s="17"/>
      <c r="I860" s="55"/>
      <c r="J860" s="55"/>
      <c r="K860" s="55"/>
      <c r="L860" s="55"/>
      <c r="M860" s="82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F860" s="55"/>
      <c r="AG860" s="55"/>
      <c r="AH860" s="55"/>
      <c r="AI860" s="55"/>
    </row>
    <row r="861" spans="1:35" ht="13.5" customHeight="1">
      <c r="A861" s="55"/>
      <c r="B861" s="55"/>
      <c r="C861" s="55"/>
      <c r="D861" s="55"/>
      <c r="E861" s="70"/>
      <c r="F861" s="55"/>
      <c r="G861" s="17"/>
      <c r="H861" s="17"/>
      <c r="I861" s="55"/>
      <c r="J861" s="55"/>
      <c r="K861" s="55"/>
      <c r="L861" s="55"/>
      <c r="M861" s="82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F861" s="55"/>
      <c r="AG861" s="55"/>
      <c r="AH861" s="55"/>
      <c r="AI861" s="55"/>
    </row>
    <row r="862" spans="1:35" ht="13.5" customHeight="1">
      <c r="A862" s="55"/>
      <c r="B862" s="55"/>
      <c r="C862" s="55"/>
      <c r="D862" s="55"/>
      <c r="E862" s="70"/>
      <c r="F862" s="55"/>
      <c r="G862" s="17"/>
      <c r="H862" s="17"/>
      <c r="I862" s="55"/>
      <c r="J862" s="55"/>
      <c r="K862" s="55"/>
      <c r="L862" s="55"/>
      <c r="M862" s="82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5"/>
      <c r="AH862" s="55"/>
      <c r="AI862" s="55"/>
    </row>
    <row r="863" spans="1:35" ht="13.5" customHeight="1">
      <c r="A863" s="55"/>
      <c r="B863" s="55"/>
      <c r="C863" s="55"/>
      <c r="D863" s="55"/>
      <c r="E863" s="70"/>
      <c r="F863" s="55"/>
      <c r="G863" s="17"/>
      <c r="H863" s="17"/>
      <c r="I863" s="55"/>
      <c r="J863" s="55"/>
      <c r="K863" s="55"/>
      <c r="L863" s="55"/>
      <c r="M863" s="82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  <c r="AI863" s="55"/>
    </row>
    <row r="864" spans="1:35" ht="13.5" customHeight="1">
      <c r="A864" s="55"/>
      <c r="B864" s="55"/>
      <c r="C864" s="55"/>
      <c r="D864" s="55"/>
      <c r="E864" s="70"/>
      <c r="F864" s="55"/>
      <c r="G864" s="17"/>
      <c r="H864" s="17"/>
      <c r="I864" s="55"/>
      <c r="J864" s="55"/>
      <c r="K864" s="55"/>
      <c r="L864" s="55"/>
      <c r="M864" s="82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</row>
    <row r="865" spans="1:35" ht="13.5" customHeight="1">
      <c r="A865" s="55"/>
      <c r="B865" s="55"/>
      <c r="C865" s="55"/>
      <c r="D865" s="55"/>
      <c r="E865" s="70"/>
      <c r="F865" s="55"/>
      <c r="G865" s="17"/>
      <c r="H865" s="17"/>
      <c r="I865" s="55"/>
      <c r="J865" s="55"/>
      <c r="K865" s="55"/>
      <c r="L865" s="55"/>
      <c r="M865" s="82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</row>
    <row r="866" spans="1:35" ht="13.5" customHeight="1">
      <c r="A866" s="55"/>
      <c r="B866" s="55"/>
      <c r="C866" s="55"/>
      <c r="D866" s="55"/>
      <c r="E866" s="70"/>
      <c r="F866" s="55"/>
      <c r="G866" s="17"/>
      <c r="H866" s="17"/>
      <c r="I866" s="55"/>
      <c r="J866" s="55"/>
      <c r="K866" s="55"/>
      <c r="L866" s="55"/>
      <c r="M866" s="82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</row>
    <row r="867" spans="1:35" ht="13.5" customHeight="1">
      <c r="A867" s="55"/>
      <c r="B867" s="55"/>
      <c r="C867" s="55"/>
      <c r="D867" s="55"/>
      <c r="E867" s="70"/>
      <c r="F867" s="55"/>
      <c r="G867" s="17"/>
      <c r="H867" s="17"/>
      <c r="I867" s="55"/>
      <c r="J867" s="55"/>
      <c r="K867" s="55"/>
      <c r="L867" s="55"/>
      <c r="M867" s="82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</row>
    <row r="868" spans="1:35" ht="13.5" customHeight="1">
      <c r="A868" s="55"/>
      <c r="B868" s="55"/>
      <c r="C868" s="55"/>
      <c r="D868" s="55"/>
      <c r="E868" s="70"/>
      <c r="F868" s="55"/>
      <c r="G868" s="17"/>
      <c r="H868" s="17"/>
      <c r="I868" s="55"/>
      <c r="J868" s="55"/>
      <c r="K868" s="55"/>
      <c r="L868" s="55"/>
      <c r="M868" s="82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</row>
    <row r="869" spans="1:35" ht="13.5" customHeight="1">
      <c r="A869" s="55"/>
      <c r="B869" s="55"/>
      <c r="C869" s="55"/>
      <c r="D869" s="55"/>
      <c r="E869" s="70"/>
      <c r="F869" s="55"/>
      <c r="G869" s="17"/>
      <c r="H869" s="17"/>
      <c r="I869" s="55"/>
      <c r="J869" s="55"/>
      <c r="K869" s="55"/>
      <c r="L869" s="55"/>
      <c r="M869" s="82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</row>
    <row r="870" spans="1:35" ht="13.5" customHeight="1">
      <c r="A870" s="55"/>
      <c r="B870" s="55"/>
      <c r="C870" s="55"/>
      <c r="D870" s="55"/>
      <c r="E870" s="70"/>
      <c r="F870" s="55"/>
      <c r="G870" s="17"/>
      <c r="H870" s="17"/>
      <c r="I870" s="55"/>
      <c r="J870" s="55"/>
      <c r="K870" s="55"/>
      <c r="L870" s="55"/>
      <c r="M870" s="82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</row>
    <row r="871" spans="1:35" ht="13.5" customHeight="1">
      <c r="A871" s="55"/>
      <c r="B871" s="55"/>
      <c r="C871" s="55"/>
      <c r="D871" s="55"/>
      <c r="E871" s="70"/>
      <c r="F871" s="55"/>
      <c r="G871" s="17"/>
      <c r="H871" s="17"/>
      <c r="I871" s="55"/>
      <c r="J871" s="55"/>
      <c r="K871" s="55"/>
      <c r="L871" s="55"/>
      <c r="M871" s="82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</row>
    <row r="872" spans="1:35" ht="13.5" customHeight="1">
      <c r="A872" s="55"/>
      <c r="B872" s="55"/>
      <c r="C872" s="55"/>
      <c r="D872" s="55"/>
      <c r="E872" s="70"/>
      <c r="F872" s="55"/>
      <c r="G872" s="17"/>
      <c r="H872" s="17"/>
      <c r="I872" s="55"/>
      <c r="J872" s="55"/>
      <c r="K872" s="55"/>
      <c r="L872" s="55"/>
      <c r="M872" s="82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</row>
    <row r="873" spans="1:35" ht="13.5" customHeight="1">
      <c r="A873" s="55"/>
      <c r="B873" s="55"/>
      <c r="C873" s="55"/>
      <c r="D873" s="55"/>
      <c r="E873" s="70"/>
      <c r="F873" s="55"/>
      <c r="G873" s="17"/>
      <c r="H873" s="17"/>
      <c r="I873" s="55"/>
      <c r="J873" s="55"/>
      <c r="K873" s="55"/>
      <c r="L873" s="55"/>
      <c r="M873" s="82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</row>
    <row r="874" spans="1:35" ht="13.5" customHeight="1">
      <c r="A874" s="55"/>
      <c r="B874" s="55"/>
      <c r="C874" s="55"/>
      <c r="D874" s="55"/>
      <c r="E874" s="70"/>
      <c r="F874" s="55"/>
      <c r="G874" s="17"/>
      <c r="H874" s="17"/>
      <c r="I874" s="55"/>
      <c r="J874" s="55"/>
      <c r="K874" s="55"/>
      <c r="L874" s="55"/>
      <c r="M874" s="82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</row>
    <row r="875" spans="1:35" ht="13.5" customHeight="1">
      <c r="A875" s="55"/>
      <c r="B875" s="55"/>
      <c r="C875" s="55"/>
      <c r="D875" s="55"/>
      <c r="E875" s="70"/>
      <c r="F875" s="55"/>
      <c r="G875" s="17"/>
      <c r="H875" s="17"/>
      <c r="I875" s="55"/>
      <c r="J875" s="55"/>
      <c r="K875" s="55"/>
      <c r="L875" s="55"/>
      <c r="M875" s="82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</row>
    <row r="876" spans="1:35" ht="13.5" customHeight="1">
      <c r="A876" s="55"/>
      <c r="B876" s="55"/>
      <c r="C876" s="55"/>
      <c r="D876" s="55"/>
      <c r="E876" s="70"/>
      <c r="F876" s="55"/>
      <c r="G876" s="17"/>
      <c r="H876" s="17"/>
      <c r="I876" s="55"/>
      <c r="J876" s="55"/>
      <c r="K876" s="55"/>
      <c r="L876" s="55"/>
      <c r="M876" s="82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</row>
    <row r="877" spans="1:35" ht="13.5" customHeight="1">
      <c r="A877" s="55"/>
      <c r="B877" s="55"/>
      <c r="C877" s="55"/>
      <c r="D877" s="55"/>
      <c r="E877" s="70"/>
      <c r="F877" s="55"/>
      <c r="G877" s="17"/>
      <c r="H877" s="17"/>
      <c r="I877" s="55"/>
      <c r="J877" s="55"/>
      <c r="K877" s="55"/>
      <c r="L877" s="55"/>
      <c r="M877" s="82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</row>
    <row r="878" spans="1:35" ht="13.5" customHeight="1">
      <c r="A878" s="55"/>
      <c r="B878" s="55"/>
      <c r="C878" s="55"/>
      <c r="D878" s="55"/>
      <c r="E878" s="70"/>
      <c r="F878" s="55"/>
      <c r="G878" s="17"/>
      <c r="H878" s="17"/>
      <c r="I878" s="55"/>
      <c r="J878" s="55"/>
      <c r="K878" s="55"/>
      <c r="L878" s="55"/>
      <c r="M878" s="82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</row>
    <row r="879" spans="1:35" ht="13.5" customHeight="1">
      <c r="A879" s="55"/>
      <c r="B879" s="55"/>
      <c r="C879" s="55"/>
      <c r="D879" s="55"/>
      <c r="E879" s="70"/>
      <c r="F879" s="55"/>
      <c r="G879" s="17"/>
      <c r="H879" s="17"/>
      <c r="I879" s="55"/>
      <c r="J879" s="55"/>
      <c r="K879" s="55"/>
      <c r="L879" s="55"/>
      <c r="M879" s="82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</row>
    <row r="880" spans="1:35" ht="13.5" customHeight="1">
      <c r="A880" s="55"/>
      <c r="B880" s="55"/>
      <c r="C880" s="55"/>
      <c r="D880" s="55"/>
      <c r="E880" s="70"/>
      <c r="F880" s="55"/>
      <c r="G880" s="17"/>
      <c r="H880" s="17"/>
      <c r="I880" s="55"/>
      <c r="J880" s="55"/>
      <c r="K880" s="55"/>
      <c r="L880" s="55"/>
      <c r="M880" s="82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</row>
    <row r="881" spans="1:35" ht="13.5" customHeight="1">
      <c r="A881" s="55"/>
      <c r="B881" s="55"/>
      <c r="C881" s="55"/>
      <c r="D881" s="55"/>
      <c r="E881" s="70"/>
      <c r="F881" s="55"/>
      <c r="G881" s="17"/>
      <c r="H881" s="17"/>
      <c r="I881" s="55"/>
      <c r="J881" s="55"/>
      <c r="K881" s="55"/>
      <c r="L881" s="55"/>
      <c r="M881" s="82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</row>
    <row r="882" spans="1:35" ht="13.5" customHeight="1">
      <c r="A882" s="55"/>
      <c r="B882" s="55"/>
      <c r="C882" s="55"/>
      <c r="D882" s="55"/>
      <c r="E882" s="70"/>
      <c r="F882" s="55"/>
      <c r="G882" s="17"/>
      <c r="H882" s="17"/>
      <c r="I882" s="55"/>
      <c r="J882" s="55"/>
      <c r="K882" s="55"/>
      <c r="L882" s="55"/>
      <c r="M882" s="82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</row>
    <row r="883" spans="1:35" ht="13.5" customHeight="1">
      <c r="A883" s="55"/>
      <c r="B883" s="55"/>
      <c r="C883" s="55"/>
      <c r="D883" s="55"/>
      <c r="E883" s="70"/>
      <c r="F883" s="55"/>
      <c r="G883" s="17"/>
      <c r="H883" s="17"/>
      <c r="I883" s="55"/>
      <c r="J883" s="55"/>
      <c r="K883" s="55"/>
      <c r="L883" s="55"/>
      <c r="M883" s="82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</row>
    <row r="884" spans="1:35" ht="13.5" customHeight="1">
      <c r="A884" s="55"/>
      <c r="B884" s="55"/>
      <c r="C884" s="55"/>
      <c r="D884" s="55"/>
      <c r="E884" s="70"/>
      <c r="F884" s="55"/>
      <c r="G884" s="17"/>
      <c r="H884" s="17"/>
      <c r="I884" s="55"/>
      <c r="J884" s="55"/>
      <c r="K884" s="55"/>
      <c r="L884" s="55"/>
      <c r="M884" s="82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</row>
    <row r="885" spans="1:35" ht="13.5" customHeight="1">
      <c r="A885" s="55"/>
      <c r="B885" s="55"/>
      <c r="C885" s="55"/>
      <c r="D885" s="55"/>
      <c r="E885" s="70"/>
      <c r="F885" s="55"/>
      <c r="G885" s="17"/>
      <c r="H885" s="17"/>
      <c r="I885" s="55"/>
      <c r="J885" s="55"/>
      <c r="K885" s="55"/>
      <c r="L885" s="55"/>
      <c r="M885" s="82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  <c r="AI885" s="55"/>
    </row>
    <row r="886" spans="1:35" ht="13.5" customHeight="1">
      <c r="A886" s="55"/>
      <c r="B886" s="55"/>
      <c r="C886" s="55"/>
      <c r="D886" s="55"/>
      <c r="E886" s="70"/>
      <c r="F886" s="55"/>
      <c r="G886" s="17"/>
      <c r="H886" s="17"/>
      <c r="I886" s="55"/>
      <c r="J886" s="55"/>
      <c r="K886" s="55"/>
      <c r="L886" s="55"/>
      <c r="M886" s="82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  <c r="AI886" s="55"/>
    </row>
    <row r="887" spans="1:35" ht="13.5" customHeight="1">
      <c r="A887" s="55"/>
      <c r="B887" s="55"/>
      <c r="C887" s="55"/>
      <c r="D887" s="55"/>
      <c r="E887" s="70"/>
      <c r="F887" s="55"/>
      <c r="G887" s="17"/>
      <c r="H887" s="17"/>
      <c r="I887" s="55"/>
      <c r="J887" s="55"/>
      <c r="K887" s="55"/>
      <c r="L887" s="55"/>
      <c r="M887" s="82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</row>
    <row r="888" spans="1:35" ht="13.5" customHeight="1">
      <c r="A888" s="55"/>
      <c r="B888" s="55"/>
      <c r="C888" s="55"/>
      <c r="D888" s="55"/>
      <c r="E888" s="70"/>
      <c r="F888" s="55"/>
      <c r="G888" s="17"/>
      <c r="H888" s="17"/>
      <c r="I888" s="55"/>
      <c r="J888" s="55"/>
      <c r="K888" s="55"/>
      <c r="L888" s="55"/>
      <c r="M888" s="82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</row>
    <row r="889" spans="1:35" ht="13.5" customHeight="1">
      <c r="A889" s="55"/>
      <c r="B889" s="55"/>
      <c r="C889" s="55"/>
      <c r="D889" s="55"/>
      <c r="E889" s="70"/>
      <c r="F889" s="55"/>
      <c r="G889" s="17"/>
      <c r="H889" s="17"/>
      <c r="I889" s="55"/>
      <c r="J889" s="55"/>
      <c r="K889" s="55"/>
      <c r="L889" s="55"/>
      <c r="M889" s="82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</row>
    <row r="890" spans="1:35" ht="13.5" customHeight="1">
      <c r="A890" s="55"/>
      <c r="B890" s="55"/>
      <c r="C890" s="55"/>
      <c r="D890" s="55"/>
      <c r="E890" s="70"/>
      <c r="F890" s="55"/>
      <c r="G890" s="17"/>
      <c r="H890" s="17"/>
      <c r="I890" s="55"/>
      <c r="J890" s="55"/>
      <c r="K890" s="55"/>
      <c r="L890" s="55"/>
      <c r="M890" s="82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</row>
    <row r="891" spans="1:35" ht="13.5" customHeight="1">
      <c r="A891" s="55"/>
      <c r="B891" s="55"/>
      <c r="C891" s="55"/>
      <c r="D891" s="55"/>
      <c r="E891" s="70"/>
      <c r="F891" s="55"/>
      <c r="G891" s="17"/>
      <c r="H891" s="17"/>
      <c r="I891" s="55"/>
      <c r="J891" s="55"/>
      <c r="K891" s="55"/>
      <c r="L891" s="55"/>
      <c r="M891" s="82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</row>
    <row r="892" spans="1:35" ht="13.5" customHeight="1">
      <c r="A892" s="55"/>
      <c r="B892" s="55"/>
      <c r="C892" s="55"/>
      <c r="D892" s="55"/>
      <c r="E892" s="70"/>
      <c r="F892" s="55"/>
      <c r="G892" s="17"/>
      <c r="H892" s="17"/>
      <c r="I892" s="55"/>
      <c r="J892" s="55"/>
      <c r="K892" s="55"/>
      <c r="L892" s="55"/>
      <c r="M892" s="82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</row>
    <row r="893" spans="1:35" ht="13.5" customHeight="1">
      <c r="A893" s="55"/>
      <c r="B893" s="55"/>
      <c r="C893" s="55"/>
      <c r="D893" s="55"/>
      <c r="E893" s="70"/>
      <c r="F893" s="55"/>
      <c r="G893" s="17"/>
      <c r="H893" s="17"/>
      <c r="I893" s="55"/>
      <c r="J893" s="55"/>
      <c r="K893" s="55"/>
      <c r="L893" s="55"/>
      <c r="M893" s="82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</row>
    <row r="894" spans="1:35" ht="13.5" customHeight="1">
      <c r="A894" s="55"/>
      <c r="B894" s="55"/>
      <c r="C894" s="55"/>
      <c r="D894" s="55"/>
      <c r="E894" s="70"/>
      <c r="F894" s="55"/>
      <c r="G894" s="17"/>
      <c r="H894" s="17"/>
      <c r="I894" s="55"/>
      <c r="J894" s="55"/>
      <c r="K894" s="55"/>
      <c r="L894" s="55"/>
      <c r="M894" s="82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</row>
    <row r="895" spans="1:35" ht="13.5" customHeight="1">
      <c r="A895" s="55"/>
      <c r="B895" s="55"/>
      <c r="C895" s="55"/>
      <c r="D895" s="55"/>
      <c r="E895" s="70"/>
      <c r="F895" s="55"/>
      <c r="G895" s="17"/>
      <c r="H895" s="17"/>
      <c r="I895" s="55"/>
      <c r="J895" s="55"/>
      <c r="K895" s="55"/>
      <c r="L895" s="55"/>
      <c r="M895" s="82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</row>
    <row r="896" spans="1:35" ht="13.5" customHeight="1">
      <c r="A896" s="55"/>
      <c r="B896" s="55"/>
      <c r="C896" s="55"/>
      <c r="D896" s="55"/>
      <c r="E896" s="70"/>
      <c r="F896" s="55"/>
      <c r="G896" s="17"/>
      <c r="H896" s="17"/>
      <c r="I896" s="55"/>
      <c r="J896" s="55"/>
      <c r="K896" s="55"/>
      <c r="L896" s="55"/>
      <c r="M896" s="82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</row>
    <row r="897" spans="1:35" ht="13.5" customHeight="1">
      <c r="A897" s="55"/>
      <c r="B897" s="55"/>
      <c r="C897" s="55"/>
      <c r="D897" s="55"/>
      <c r="E897" s="70"/>
      <c r="F897" s="55"/>
      <c r="G897" s="17"/>
      <c r="H897" s="17"/>
      <c r="I897" s="55"/>
      <c r="J897" s="55"/>
      <c r="K897" s="55"/>
      <c r="L897" s="55"/>
      <c r="M897" s="82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</row>
    <row r="898" spans="1:35" ht="13.5" customHeight="1">
      <c r="A898" s="55"/>
      <c r="B898" s="55"/>
      <c r="C898" s="55"/>
      <c r="D898" s="55"/>
      <c r="E898" s="70"/>
      <c r="F898" s="55"/>
      <c r="G898" s="17"/>
      <c r="H898" s="17"/>
      <c r="I898" s="55"/>
      <c r="J898" s="55"/>
      <c r="K898" s="55"/>
      <c r="L898" s="55"/>
      <c r="M898" s="82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</row>
    <row r="899" spans="1:35" ht="13.5" customHeight="1">
      <c r="A899" s="55"/>
      <c r="B899" s="55"/>
      <c r="C899" s="55"/>
      <c r="D899" s="55"/>
      <c r="E899" s="70"/>
      <c r="F899" s="55"/>
      <c r="G899" s="17"/>
      <c r="H899" s="17"/>
      <c r="I899" s="55"/>
      <c r="J899" s="55"/>
      <c r="K899" s="55"/>
      <c r="L899" s="55"/>
      <c r="M899" s="82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</row>
    <row r="900" spans="1:35" ht="13.5" customHeight="1">
      <c r="A900" s="55"/>
      <c r="B900" s="55"/>
      <c r="C900" s="55"/>
      <c r="D900" s="55"/>
      <c r="E900" s="70"/>
      <c r="F900" s="55"/>
      <c r="G900" s="17"/>
      <c r="H900" s="17"/>
      <c r="I900" s="55"/>
      <c r="J900" s="55"/>
      <c r="K900" s="55"/>
      <c r="L900" s="55"/>
      <c r="M900" s="82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</row>
    <row r="901" spans="1:35" ht="13.5" customHeight="1">
      <c r="A901" s="55"/>
      <c r="B901" s="55"/>
      <c r="C901" s="55"/>
      <c r="D901" s="55"/>
      <c r="E901" s="70"/>
      <c r="F901" s="55"/>
      <c r="G901" s="17"/>
      <c r="H901" s="17"/>
      <c r="I901" s="55"/>
      <c r="J901" s="55"/>
      <c r="K901" s="55"/>
      <c r="L901" s="55"/>
      <c r="M901" s="82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</row>
    <row r="902" spans="1:35" ht="13.5" customHeight="1">
      <c r="A902" s="55"/>
      <c r="B902" s="55"/>
      <c r="C902" s="55"/>
      <c r="D902" s="55"/>
      <c r="E902" s="70"/>
      <c r="F902" s="55"/>
      <c r="G902" s="17"/>
      <c r="H902" s="17"/>
      <c r="I902" s="55"/>
      <c r="J902" s="55"/>
      <c r="K902" s="55"/>
      <c r="L902" s="55"/>
      <c r="M902" s="82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</row>
    <row r="903" spans="1:35" ht="13.5" customHeight="1">
      <c r="A903" s="55"/>
      <c r="B903" s="55"/>
      <c r="C903" s="55"/>
      <c r="D903" s="55"/>
      <c r="E903" s="70"/>
      <c r="F903" s="55"/>
      <c r="G903" s="17"/>
      <c r="H903" s="17"/>
      <c r="I903" s="55"/>
      <c r="J903" s="55"/>
      <c r="K903" s="55"/>
      <c r="L903" s="55"/>
      <c r="M903" s="82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</row>
    <row r="904" spans="1:35" ht="13.5" customHeight="1">
      <c r="A904" s="55"/>
      <c r="B904" s="55"/>
      <c r="C904" s="55"/>
      <c r="D904" s="55"/>
      <c r="E904" s="70"/>
      <c r="F904" s="55"/>
      <c r="G904" s="17"/>
      <c r="H904" s="17"/>
      <c r="I904" s="55"/>
      <c r="J904" s="55"/>
      <c r="K904" s="55"/>
      <c r="L904" s="55"/>
      <c r="M904" s="82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</row>
    <row r="905" spans="1:35" ht="13.5" customHeight="1">
      <c r="A905" s="55"/>
      <c r="B905" s="55"/>
      <c r="C905" s="55"/>
      <c r="D905" s="55"/>
      <c r="E905" s="70"/>
      <c r="F905" s="55"/>
      <c r="G905" s="17"/>
      <c r="H905" s="17"/>
      <c r="I905" s="55"/>
      <c r="J905" s="55"/>
      <c r="K905" s="55"/>
      <c r="L905" s="55"/>
      <c r="M905" s="82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  <c r="AH905" s="55"/>
      <c r="AI905" s="55"/>
    </row>
    <row r="906" spans="1:35" ht="13.5" customHeight="1">
      <c r="A906" s="55"/>
      <c r="B906" s="55"/>
      <c r="C906" s="55"/>
      <c r="D906" s="55"/>
      <c r="E906" s="70"/>
      <c r="F906" s="55"/>
      <c r="G906" s="17"/>
      <c r="H906" s="17"/>
      <c r="I906" s="55"/>
      <c r="J906" s="55"/>
      <c r="K906" s="55"/>
      <c r="L906" s="55"/>
      <c r="M906" s="82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</row>
    <row r="907" spans="1:35" ht="13.5" customHeight="1">
      <c r="A907" s="55"/>
      <c r="B907" s="55"/>
      <c r="C907" s="55"/>
      <c r="D907" s="55"/>
      <c r="E907" s="70"/>
      <c r="F907" s="55"/>
      <c r="G907" s="17"/>
      <c r="H907" s="17"/>
      <c r="I907" s="55"/>
      <c r="J907" s="55"/>
      <c r="K907" s="55"/>
      <c r="L907" s="55"/>
      <c r="M907" s="82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</row>
    <row r="908" spans="1:35" ht="13.5" customHeight="1">
      <c r="A908" s="55"/>
      <c r="B908" s="55"/>
      <c r="C908" s="55"/>
      <c r="D908" s="55"/>
      <c r="E908" s="70"/>
      <c r="F908" s="55"/>
      <c r="G908" s="17"/>
      <c r="H908" s="17"/>
      <c r="I908" s="55"/>
      <c r="J908" s="55"/>
      <c r="K908" s="55"/>
      <c r="L908" s="55"/>
      <c r="M908" s="82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</row>
    <row r="909" spans="1:35" ht="13.5" customHeight="1">
      <c r="A909" s="55"/>
      <c r="B909" s="55"/>
      <c r="C909" s="55"/>
      <c r="D909" s="55"/>
      <c r="E909" s="70"/>
      <c r="F909" s="55"/>
      <c r="G909" s="17"/>
      <c r="H909" s="17"/>
      <c r="I909" s="55"/>
      <c r="J909" s="55"/>
      <c r="K909" s="55"/>
      <c r="L909" s="55"/>
      <c r="M909" s="82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</row>
    <row r="910" spans="1:35" ht="13.5" customHeight="1">
      <c r="A910" s="55"/>
      <c r="B910" s="55"/>
      <c r="C910" s="55"/>
      <c r="D910" s="55"/>
      <c r="E910" s="70"/>
      <c r="F910" s="55"/>
      <c r="G910" s="17"/>
      <c r="H910" s="17"/>
      <c r="I910" s="55"/>
      <c r="J910" s="55"/>
      <c r="K910" s="55"/>
      <c r="L910" s="55"/>
      <c r="M910" s="82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</row>
    <row r="911" spans="1:35" ht="13.5" customHeight="1">
      <c r="A911" s="55"/>
      <c r="B911" s="55"/>
      <c r="C911" s="55"/>
      <c r="D911" s="55"/>
      <c r="E911" s="70"/>
      <c r="F911" s="55"/>
      <c r="G911" s="17"/>
      <c r="H911" s="17"/>
      <c r="I911" s="55"/>
      <c r="J911" s="55"/>
      <c r="K911" s="55"/>
      <c r="L911" s="55"/>
      <c r="M911" s="82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  <c r="AH911" s="55"/>
      <c r="AI911" s="55"/>
    </row>
    <row r="912" spans="1:35" ht="13.5" customHeight="1">
      <c r="A912" s="55"/>
      <c r="B912" s="55"/>
      <c r="C912" s="55"/>
      <c r="D912" s="55"/>
      <c r="E912" s="70"/>
      <c r="F912" s="55"/>
      <c r="G912" s="17"/>
      <c r="H912" s="17"/>
      <c r="I912" s="55"/>
      <c r="J912" s="55"/>
      <c r="K912" s="55"/>
      <c r="L912" s="55"/>
      <c r="M912" s="82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</row>
    <row r="913" spans="1:35" ht="13.5" customHeight="1">
      <c r="A913" s="55"/>
      <c r="B913" s="55"/>
      <c r="C913" s="55"/>
      <c r="D913" s="55"/>
      <c r="E913" s="70"/>
      <c r="F913" s="55"/>
      <c r="G913" s="17"/>
      <c r="H913" s="17"/>
      <c r="I913" s="55"/>
      <c r="J913" s="55"/>
      <c r="K913" s="55"/>
      <c r="L913" s="55"/>
      <c r="M913" s="82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  <c r="AH913" s="55"/>
      <c r="AI913" s="55"/>
    </row>
    <row r="914" spans="1:35" ht="13.5" customHeight="1">
      <c r="A914" s="55"/>
      <c r="B914" s="55"/>
      <c r="C914" s="55"/>
      <c r="D914" s="55"/>
      <c r="E914" s="70"/>
      <c r="F914" s="55"/>
      <c r="G914" s="17"/>
      <c r="H914" s="17"/>
      <c r="I914" s="55"/>
      <c r="J914" s="55"/>
      <c r="K914" s="55"/>
      <c r="L914" s="55"/>
      <c r="M914" s="82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</row>
    <row r="915" spans="1:35" ht="13.5" customHeight="1">
      <c r="A915" s="55"/>
      <c r="B915" s="55"/>
      <c r="C915" s="55"/>
      <c r="D915" s="55"/>
      <c r="E915" s="70"/>
      <c r="F915" s="55"/>
      <c r="G915" s="17"/>
      <c r="H915" s="17"/>
      <c r="I915" s="55"/>
      <c r="J915" s="55"/>
      <c r="K915" s="55"/>
      <c r="L915" s="55"/>
      <c r="M915" s="82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</row>
    <row r="916" spans="1:35" ht="13.5" customHeight="1">
      <c r="A916" s="55"/>
      <c r="B916" s="55"/>
      <c r="C916" s="55"/>
      <c r="D916" s="55"/>
      <c r="E916" s="70"/>
      <c r="F916" s="55"/>
      <c r="G916" s="17"/>
      <c r="H916" s="17"/>
      <c r="I916" s="55"/>
      <c r="J916" s="55"/>
      <c r="K916" s="55"/>
      <c r="L916" s="55"/>
      <c r="M916" s="82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</row>
    <row r="917" spans="1:35" ht="13.5" customHeight="1">
      <c r="A917" s="55"/>
      <c r="B917" s="55"/>
      <c r="C917" s="55"/>
      <c r="D917" s="55"/>
      <c r="E917" s="70"/>
      <c r="F917" s="55"/>
      <c r="G917" s="17"/>
      <c r="H917" s="17"/>
      <c r="I917" s="55"/>
      <c r="J917" s="55"/>
      <c r="K917" s="55"/>
      <c r="L917" s="55"/>
      <c r="M917" s="82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</row>
    <row r="918" spans="1:35" ht="13.5" customHeight="1">
      <c r="A918" s="55"/>
      <c r="B918" s="55"/>
      <c r="C918" s="55"/>
      <c r="D918" s="55"/>
      <c r="E918" s="70"/>
      <c r="F918" s="55"/>
      <c r="G918" s="17"/>
      <c r="H918" s="17"/>
      <c r="I918" s="55"/>
      <c r="J918" s="55"/>
      <c r="K918" s="55"/>
      <c r="L918" s="55"/>
      <c r="M918" s="82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</row>
    <row r="919" spans="1:35" ht="13.5" customHeight="1">
      <c r="A919" s="55"/>
      <c r="B919" s="55"/>
      <c r="C919" s="55"/>
      <c r="D919" s="55"/>
      <c r="E919" s="70"/>
      <c r="F919" s="55"/>
      <c r="G919" s="17"/>
      <c r="H919" s="17"/>
      <c r="I919" s="55"/>
      <c r="J919" s="55"/>
      <c r="K919" s="55"/>
      <c r="L919" s="55"/>
      <c r="M919" s="82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</row>
    <row r="920" spans="1:35" ht="13.5" customHeight="1">
      <c r="A920" s="55"/>
      <c r="B920" s="55"/>
      <c r="C920" s="55"/>
      <c r="D920" s="55"/>
      <c r="E920" s="70"/>
      <c r="F920" s="55"/>
      <c r="G920" s="17"/>
      <c r="H920" s="17"/>
      <c r="I920" s="55"/>
      <c r="J920" s="55"/>
      <c r="K920" s="55"/>
      <c r="L920" s="55"/>
      <c r="M920" s="82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  <c r="AH920" s="55"/>
      <c r="AI920" s="55"/>
    </row>
    <row r="921" spans="1:35" ht="13.5" customHeight="1">
      <c r="A921" s="55"/>
      <c r="B921" s="55"/>
      <c r="C921" s="55"/>
      <c r="D921" s="55"/>
      <c r="E921" s="70"/>
      <c r="F921" s="55"/>
      <c r="G921" s="17"/>
      <c r="H921" s="17"/>
      <c r="I921" s="55"/>
      <c r="J921" s="55"/>
      <c r="K921" s="55"/>
      <c r="L921" s="55"/>
      <c r="M921" s="82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</row>
    <row r="922" spans="1:35" ht="13.5" customHeight="1">
      <c r="A922" s="55"/>
      <c r="B922" s="55"/>
      <c r="C922" s="55"/>
      <c r="D922" s="55"/>
      <c r="E922" s="70"/>
      <c r="F922" s="55"/>
      <c r="G922" s="17"/>
      <c r="H922" s="17"/>
      <c r="I922" s="55"/>
      <c r="J922" s="55"/>
      <c r="K922" s="55"/>
      <c r="L922" s="55"/>
      <c r="M922" s="82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  <c r="AH922" s="55"/>
      <c r="AI922" s="55"/>
    </row>
    <row r="923" spans="1:35" ht="13.5" customHeight="1">
      <c r="A923" s="55"/>
      <c r="B923" s="55"/>
      <c r="C923" s="55"/>
      <c r="D923" s="55"/>
      <c r="E923" s="70"/>
      <c r="F923" s="55"/>
      <c r="G923" s="17"/>
      <c r="H923" s="17"/>
      <c r="I923" s="55"/>
      <c r="J923" s="55"/>
      <c r="K923" s="55"/>
      <c r="L923" s="55"/>
      <c r="M923" s="82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</row>
    <row r="924" spans="1:35" ht="13.5" customHeight="1">
      <c r="A924" s="55"/>
      <c r="B924" s="55"/>
      <c r="C924" s="55"/>
      <c r="D924" s="55"/>
      <c r="E924" s="70"/>
      <c r="F924" s="55"/>
      <c r="G924" s="17"/>
      <c r="H924" s="17"/>
      <c r="I924" s="55"/>
      <c r="J924" s="55"/>
      <c r="K924" s="55"/>
      <c r="L924" s="55"/>
      <c r="M924" s="82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  <c r="AH924" s="55"/>
      <c r="AI924" s="55"/>
    </row>
    <row r="925" spans="1:35" ht="13.5" customHeight="1">
      <c r="A925" s="55"/>
      <c r="B925" s="55"/>
      <c r="C925" s="55"/>
      <c r="D925" s="55"/>
      <c r="E925" s="70"/>
      <c r="F925" s="55"/>
      <c r="G925" s="17"/>
      <c r="H925" s="17"/>
      <c r="I925" s="55"/>
      <c r="J925" s="55"/>
      <c r="K925" s="55"/>
      <c r="L925" s="55"/>
      <c r="M925" s="82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  <c r="AH925" s="55"/>
      <c r="AI925" s="55"/>
    </row>
    <row r="926" spans="1:35" ht="13.5" customHeight="1">
      <c r="A926" s="55"/>
      <c r="B926" s="55"/>
      <c r="C926" s="55"/>
      <c r="D926" s="55"/>
      <c r="E926" s="70"/>
      <c r="F926" s="55"/>
      <c r="G926" s="17"/>
      <c r="H926" s="17"/>
      <c r="I926" s="55"/>
      <c r="J926" s="55"/>
      <c r="K926" s="55"/>
      <c r="L926" s="55"/>
      <c r="M926" s="82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  <c r="AH926" s="55"/>
      <c r="AI926" s="55"/>
    </row>
    <row r="927" spans="1:35" ht="13.5" customHeight="1">
      <c r="A927" s="55"/>
      <c r="B927" s="55"/>
      <c r="C927" s="55"/>
      <c r="D927" s="55"/>
      <c r="E927" s="70"/>
      <c r="F927" s="55"/>
      <c r="G927" s="17"/>
      <c r="H927" s="17"/>
      <c r="I927" s="55"/>
      <c r="J927" s="55"/>
      <c r="K927" s="55"/>
      <c r="L927" s="55"/>
      <c r="M927" s="82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  <c r="AG927" s="55"/>
      <c r="AH927" s="55"/>
      <c r="AI927" s="55"/>
    </row>
    <row r="928" spans="1:35" ht="13.5" customHeight="1">
      <c r="A928" s="55"/>
      <c r="B928" s="55"/>
      <c r="C928" s="55"/>
      <c r="D928" s="55"/>
      <c r="E928" s="70"/>
      <c r="F928" s="55"/>
      <c r="G928" s="17"/>
      <c r="H928" s="17"/>
      <c r="I928" s="55"/>
      <c r="J928" s="55"/>
      <c r="K928" s="55"/>
      <c r="L928" s="55"/>
      <c r="M928" s="82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  <c r="AH928" s="55"/>
      <c r="AI928" s="55"/>
    </row>
    <row r="929" spans="1:35" ht="13.5" customHeight="1">
      <c r="A929" s="55"/>
      <c r="B929" s="55"/>
      <c r="C929" s="55"/>
      <c r="D929" s="55"/>
      <c r="E929" s="70"/>
      <c r="F929" s="55"/>
      <c r="G929" s="17"/>
      <c r="H929" s="17"/>
      <c r="I929" s="55"/>
      <c r="J929" s="55"/>
      <c r="K929" s="55"/>
      <c r="L929" s="55"/>
      <c r="M929" s="82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F929" s="55"/>
      <c r="AG929" s="55"/>
      <c r="AH929" s="55"/>
      <c r="AI929" s="55"/>
    </row>
    <row r="930" spans="1:35" ht="13.5" customHeight="1">
      <c r="A930" s="55"/>
      <c r="B930" s="55"/>
      <c r="C930" s="55"/>
      <c r="D930" s="55"/>
      <c r="E930" s="70"/>
      <c r="F930" s="55"/>
      <c r="G930" s="17"/>
      <c r="H930" s="17"/>
      <c r="I930" s="55"/>
      <c r="J930" s="55"/>
      <c r="K930" s="55"/>
      <c r="L930" s="55"/>
      <c r="M930" s="82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  <c r="AH930" s="55"/>
      <c r="AI930" s="55"/>
    </row>
    <row r="931" spans="1:35" ht="13.5" customHeight="1">
      <c r="A931" s="55"/>
      <c r="B931" s="55"/>
      <c r="C931" s="55"/>
      <c r="D931" s="55"/>
      <c r="E931" s="70"/>
      <c r="F931" s="55"/>
      <c r="G931" s="17"/>
      <c r="H931" s="17"/>
      <c r="I931" s="55"/>
      <c r="J931" s="55"/>
      <c r="K931" s="55"/>
      <c r="L931" s="55"/>
      <c r="M931" s="82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</row>
    <row r="932" spans="1:35" ht="13.5" customHeight="1">
      <c r="A932" s="55"/>
      <c r="B932" s="55"/>
      <c r="C932" s="55"/>
      <c r="D932" s="55"/>
      <c r="E932" s="70"/>
      <c r="F932" s="55"/>
      <c r="G932" s="17"/>
      <c r="H932" s="17"/>
      <c r="I932" s="55"/>
      <c r="J932" s="55"/>
      <c r="K932" s="55"/>
      <c r="L932" s="55"/>
      <c r="M932" s="82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</row>
    <row r="933" spans="1:35" ht="13.5" customHeight="1">
      <c r="A933" s="55"/>
      <c r="B933" s="55"/>
      <c r="C933" s="55"/>
      <c r="D933" s="55"/>
      <c r="E933" s="70"/>
      <c r="F933" s="55"/>
      <c r="G933" s="17"/>
      <c r="H933" s="17"/>
      <c r="I933" s="55"/>
      <c r="J933" s="55"/>
      <c r="K933" s="55"/>
      <c r="L933" s="55"/>
      <c r="M933" s="82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</row>
    <row r="934" spans="1:35" ht="13.5" customHeight="1">
      <c r="A934" s="55"/>
      <c r="B934" s="55"/>
      <c r="C934" s="55"/>
      <c r="D934" s="55"/>
      <c r="E934" s="70"/>
      <c r="F934" s="55"/>
      <c r="G934" s="17"/>
      <c r="H934" s="17"/>
      <c r="I934" s="55"/>
      <c r="J934" s="55"/>
      <c r="K934" s="55"/>
      <c r="L934" s="55"/>
      <c r="M934" s="82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</row>
    <row r="935" spans="1:35" ht="13.5" customHeight="1">
      <c r="A935" s="55"/>
      <c r="B935" s="55"/>
      <c r="C935" s="55"/>
      <c r="D935" s="55"/>
      <c r="E935" s="70"/>
      <c r="F935" s="55"/>
      <c r="G935" s="17"/>
      <c r="H935" s="17"/>
      <c r="I935" s="55"/>
      <c r="J935" s="55"/>
      <c r="K935" s="55"/>
      <c r="L935" s="55"/>
      <c r="M935" s="82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</row>
    <row r="936" spans="1:35" ht="13.5" customHeight="1">
      <c r="A936" s="55"/>
      <c r="B936" s="55"/>
      <c r="C936" s="55"/>
      <c r="D936" s="55"/>
      <c r="E936" s="70"/>
      <c r="F936" s="55"/>
      <c r="G936" s="17"/>
      <c r="H936" s="17"/>
      <c r="I936" s="55"/>
      <c r="J936" s="55"/>
      <c r="K936" s="55"/>
      <c r="L936" s="55"/>
      <c r="M936" s="82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</row>
    <row r="937" spans="1:35" ht="13.5" customHeight="1">
      <c r="A937" s="55"/>
      <c r="B937" s="55"/>
      <c r="C937" s="55"/>
      <c r="D937" s="55"/>
      <c r="E937" s="70"/>
      <c r="F937" s="55"/>
      <c r="G937" s="17"/>
      <c r="H937" s="17"/>
      <c r="I937" s="55"/>
      <c r="J937" s="55"/>
      <c r="K937" s="55"/>
      <c r="L937" s="55"/>
      <c r="M937" s="82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  <c r="AH937" s="55"/>
      <c r="AI937" s="55"/>
    </row>
    <row r="938" spans="1:35" ht="13.5" customHeight="1">
      <c r="A938" s="55"/>
      <c r="B938" s="55"/>
      <c r="C938" s="55"/>
      <c r="D938" s="55"/>
      <c r="E938" s="70"/>
      <c r="F938" s="55"/>
      <c r="G938" s="17"/>
      <c r="H938" s="17"/>
      <c r="I938" s="55"/>
      <c r="J938" s="55"/>
      <c r="K938" s="55"/>
      <c r="L938" s="55"/>
      <c r="M938" s="82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  <c r="AH938" s="55"/>
      <c r="AI938" s="55"/>
    </row>
    <row r="939" spans="1:35" ht="13.5" customHeight="1">
      <c r="A939" s="55"/>
      <c r="B939" s="55"/>
      <c r="C939" s="55"/>
      <c r="D939" s="55"/>
      <c r="E939" s="70"/>
      <c r="F939" s="55"/>
      <c r="G939" s="17"/>
      <c r="H939" s="17"/>
      <c r="I939" s="55"/>
      <c r="J939" s="55"/>
      <c r="K939" s="55"/>
      <c r="L939" s="55"/>
      <c r="M939" s="82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F939" s="55"/>
      <c r="AG939" s="55"/>
      <c r="AH939" s="55"/>
      <c r="AI939" s="55"/>
    </row>
    <row r="940" spans="1:35" ht="13.5" customHeight="1">
      <c r="A940" s="55"/>
      <c r="B940" s="55"/>
      <c r="C940" s="55"/>
      <c r="D940" s="55"/>
      <c r="E940" s="70"/>
      <c r="F940" s="55"/>
      <c r="G940" s="17"/>
      <c r="H940" s="17"/>
      <c r="I940" s="55"/>
      <c r="J940" s="55"/>
      <c r="K940" s="55"/>
      <c r="L940" s="55"/>
      <c r="M940" s="82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  <c r="AH940" s="55"/>
      <c r="AI940" s="55"/>
    </row>
    <row r="941" spans="1:35" ht="13.5" customHeight="1">
      <c r="A941" s="55"/>
      <c r="B941" s="55"/>
      <c r="C941" s="55"/>
      <c r="D941" s="55"/>
      <c r="E941" s="70"/>
      <c r="F941" s="55"/>
      <c r="G941" s="17"/>
      <c r="H941" s="17"/>
      <c r="I941" s="55"/>
      <c r="J941" s="55"/>
      <c r="K941" s="55"/>
      <c r="L941" s="55"/>
      <c r="M941" s="82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</row>
    <row r="942" spans="1:35" ht="13.5" customHeight="1">
      <c r="A942" s="55"/>
      <c r="B942" s="55"/>
      <c r="C942" s="55"/>
      <c r="D942" s="55"/>
      <c r="E942" s="70"/>
      <c r="F942" s="55"/>
      <c r="G942" s="17"/>
      <c r="H942" s="17"/>
      <c r="I942" s="55"/>
      <c r="J942" s="55"/>
      <c r="K942" s="55"/>
      <c r="L942" s="55"/>
      <c r="M942" s="82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  <c r="AH942" s="55"/>
      <c r="AI942" s="55"/>
    </row>
    <row r="943" spans="1:35" ht="13.5" customHeight="1">
      <c r="A943" s="55"/>
      <c r="B943" s="55"/>
      <c r="C943" s="55"/>
      <c r="D943" s="55"/>
      <c r="E943" s="70"/>
      <c r="F943" s="55"/>
      <c r="G943" s="17"/>
      <c r="H943" s="17"/>
      <c r="I943" s="55"/>
      <c r="J943" s="55"/>
      <c r="K943" s="55"/>
      <c r="L943" s="55"/>
      <c r="M943" s="82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</row>
    <row r="944" spans="1:35" ht="13.5" customHeight="1">
      <c r="A944" s="55"/>
      <c r="B944" s="55"/>
      <c r="C944" s="55"/>
      <c r="D944" s="55"/>
      <c r="E944" s="70"/>
      <c r="F944" s="55"/>
      <c r="G944" s="17"/>
      <c r="H944" s="17"/>
      <c r="I944" s="55"/>
      <c r="J944" s="55"/>
      <c r="K944" s="55"/>
      <c r="L944" s="55"/>
      <c r="M944" s="82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</row>
    <row r="945" spans="1:35" ht="13.5" customHeight="1">
      <c r="A945" s="55"/>
      <c r="B945" s="55"/>
      <c r="C945" s="55"/>
      <c r="D945" s="55"/>
      <c r="E945" s="70"/>
      <c r="F945" s="55"/>
      <c r="G945" s="17"/>
      <c r="H945" s="17"/>
      <c r="I945" s="55"/>
      <c r="J945" s="55"/>
      <c r="K945" s="55"/>
      <c r="L945" s="55"/>
      <c r="M945" s="82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</row>
    <row r="946" spans="1:35" ht="13.5" customHeight="1">
      <c r="A946" s="55"/>
      <c r="B946" s="55"/>
      <c r="C946" s="55"/>
      <c r="D946" s="55"/>
      <c r="E946" s="70"/>
      <c r="F946" s="55"/>
      <c r="G946" s="17"/>
      <c r="H946" s="17"/>
      <c r="I946" s="55"/>
      <c r="J946" s="55"/>
      <c r="K946" s="55"/>
      <c r="L946" s="55"/>
      <c r="M946" s="82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</row>
    <row r="947" spans="1:35" ht="13.5" customHeight="1">
      <c r="A947" s="55"/>
      <c r="B947" s="55"/>
      <c r="C947" s="55"/>
      <c r="D947" s="55"/>
      <c r="E947" s="70"/>
      <c r="F947" s="55"/>
      <c r="G947" s="17"/>
      <c r="H947" s="17"/>
      <c r="I947" s="55"/>
      <c r="J947" s="55"/>
      <c r="K947" s="55"/>
      <c r="L947" s="55"/>
      <c r="M947" s="82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</row>
    <row r="948" spans="1:35" ht="13.5" customHeight="1">
      <c r="A948" s="55"/>
      <c r="B948" s="55"/>
      <c r="C948" s="55"/>
      <c r="D948" s="55"/>
      <c r="E948" s="70"/>
      <c r="F948" s="55"/>
      <c r="G948" s="17"/>
      <c r="H948" s="17"/>
      <c r="I948" s="55"/>
      <c r="J948" s="55"/>
      <c r="K948" s="55"/>
      <c r="L948" s="55"/>
      <c r="M948" s="82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</row>
    <row r="949" spans="1:35" ht="13.5" customHeight="1">
      <c r="A949" s="55"/>
      <c r="B949" s="55"/>
      <c r="C949" s="55"/>
      <c r="D949" s="55"/>
      <c r="E949" s="70"/>
      <c r="F949" s="55"/>
      <c r="G949" s="17"/>
      <c r="H949" s="17"/>
      <c r="I949" s="55"/>
      <c r="J949" s="55"/>
      <c r="K949" s="55"/>
      <c r="L949" s="55"/>
      <c r="M949" s="82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  <c r="AH949" s="55"/>
      <c r="AI949" s="55"/>
    </row>
    <row r="950" spans="1:35" ht="13.5" customHeight="1">
      <c r="A950" s="55"/>
      <c r="B950" s="55"/>
      <c r="C950" s="55"/>
      <c r="D950" s="55"/>
      <c r="E950" s="70"/>
      <c r="F950" s="55"/>
      <c r="G950" s="17"/>
      <c r="H950" s="17"/>
      <c r="I950" s="55"/>
      <c r="J950" s="55"/>
      <c r="K950" s="55"/>
      <c r="L950" s="55"/>
      <c r="M950" s="82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  <c r="AH950" s="55"/>
      <c r="AI950" s="55"/>
    </row>
    <row r="951" spans="1:35" ht="13.5" customHeight="1">
      <c r="A951" s="55"/>
      <c r="B951" s="55"/>
      <c r="C951" s="55"/>
      <c r="D951" s="55"/>
      <c r="E951" s="70"/>
      <c r="F951" s="55"/>
      <c r="G951" s="17"/>
      <c r="H951" s="17"/>
      <c r="I951" s="55"/>
      <c r="J951" s="55"/>
      <c r="K951" s="55"/>
      <c r="L951" s="55"/>
      <c r="M951" s="82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  <c r="AH951" s="55"/>
      <c r="AI951" s="55"/>
    </row>
    <row r="952" spans="1:35" ht="13.5" customHeight="1">
      <c r="A952" s="55"/>
      <c r="B952" s="55"/>
      <c r="C952" s="55"/>
      <c r="D952" s="55"/>
      <c r="E952" s="70"/>
      <c r="F952" s="55"/>
      <c r="G952" s="17"/>
      <c r="H952" s="17"/>
      <c r="I952" s="55"/>
      <c r="J952" s="55"/>
      <c r="K952" s="55"/>
      <c r="L952" s="55"/>
      <c r="M952" s="82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  <c r="AH952" s="55"/>
      <c r="AI952" s="55"/>
    </row>
    <row r="953" spans="1:35" ht="13.5" customHeight="1">
      <c r="A953" s="55"/>
      <c r="B953" s="55"/>
      <c r="C953" s="55"/>
      <c r="D953" s="55"/>
      <c r="E953" s="70"/>
      <c r="F953" s="55"/>
      <c r="G953" s="17"/>
      <c r="H953" s="17"/>
      <c r="I953" s="55"/>
      <c r="J953" s="55"/>
      <c r="K953" s="55"/>
      <c r="L953" s="55"/>
      <c r="M953" s="82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</row>
    <row r="954" spans="1:35" ht="13.5" customHeight="1">
      <c r="A954" s="55"/>
      <c r="B954" s="55"/>
      <c r="C954" s="55"/>
      <c r="D954" s="55"/>
      <c r="E954" s="70"/>
      <c r="F954" s="55"/>
      <c r="G954" s="17"/>
      <c r="H954" s="17"/>
      <c r="I954" s="55"/>
      <c r="J954" s="55"/>
      <c r="K954" s="55"/>
      <c r="L954" s="55"/>
      <c r="M954" s="82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  <c r="AH954" s="55"/>
      <c r="AI954" s="55"/>
    </row>
    <row r="955" spans="1:35" ht="13.5" customHeight="1">
      <c r="A955" s="55"/>
      <c r="B955" s="55"/>
      <c r="C955" s="55"/>
      <c r="D955" s="55"/>
      <c r="E955" s="70"/>
      <c r="F955" s="55"/>
      <c r="G955" s="17"/>
      <c r="H955" s="17"/>
      <c r="I955" s="55"/>
      <c r="J955" s="55"/>
      <c r="K955" s="55"/>
      <c r="L955" s="55"/>
      <c r="M955" s="82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  <c r="AH955" s="55"/>
      <c r="AI955" s="55"/>
    </row>
    <row r="956" spans="1:35" ht="13.5" customHeight="1">
      <c r="A956" s="55"/>
      <c r="B956" s="55"/>
      <c r="C956" s="55"/>
      <c r="D956" s="55"/>
      <c r="E956" s="70"/>
      <c r="F956" s="55"/>
      <c r="G956" s="17"/>
      <c r="H956" s="17"/>
      <c r="I956" s="55"/>
      <c r="J956" s="55"/>
      <c r="K956" s="55"/>
      <c r="L956" s="55"/>
      <c r="M956" s="82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</row>
    <row r="957" spans="1:35" ht="13.5" customHeight="1">
      <c r="A957" s="55"/>
      <c r="B957" s="55"/>
      <c r="C957" s="55"/>
      <c r="D957" s="55"/>
      <c r="E957" s="70"/>
      <c r="F957" s="55"/>
      <c r="G957" s="17"/>
      <c r="H957" s="17"/>
      <c r="I957" s="55"/>
      <c r="J957" s="55"/>
      <c r="K957" s="55"/>
      <c r="L957" s="55"/>
      <c r="M957" s="82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</row>
    <row r="958" spans="1:35" ht="13.5" customHeight="1">
      <c r="A958" s="55"/>
      <c r="B958" s="55"/>
      <c r="C958" s="55"/>
      <c r="D958" s="55"/>
      <c r="E958" s="70"/>
      <c r="F958" s="55"/>
      <c r="G958" s="17"/>
      <c r="H958" s="17"/>
      <c r="I958" s="55"/>
      <c r="J958" s="55"/>
      <c r="K958" s="55"/>
      <c r="L958" s="55"/>
      <c r="M958" s="82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  <c r="AH958" s="55"/>
      <c r="AI958" s="55"/>
    </row>
    <row r="959" spans="1:35" ht="13.5" customHeight="1">
      <c r="A959" s="55"/>
      <c r="B959" s="55"/>
      <c r="C959" s="55"/>
      <c r="D959" s="55"/>
      <c r="E959" s="70"/>
      <c r="F959" s="55"/>
      <c r="G959" s="17"/>
      <c r="H959" s="17"/>
      <c r="I959" s="55"/>
      <c r="J959" s="55"/>
      <c r="K959" s="55"/>
      <c r="L959" s="55"/>
      <c r="M959" s="82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</row>
    <row r="960" spans="1:35" ht="13.5" customHeight="1">
      <c r="A960" s="55"/>
      <c r="B960" s="55"/>
      <c r="C960" s="55"/>
      <c r="D960" s="55"/>
      <c r="E960" s="70"/>
      <c r="F960" s="55"/>
      <c r="G960" s="17"/>
      <c r="H960" s="17"/>
      <c r="I960" s="55"/>
      <c r="J960" s="55"/>
      <c r="K960" s="55"/>
      <c r="L960" s="55"/>
      <c r="M960" s="82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F960" s="55"/>
      <c r="AG960" s="55"/>
      <c r="AH960" s="55"/>
      <c r="AI960" s="55"/>
    </row>
    <row r="961" spans="1:35" ht="13.5" customHeight="1">
      <c r="A961" s="55"/>
      <c r="B961" s="55"/>
      <c r="C961" s="55"/>
      <c r="D961" s="55"/>
      <c r="E961" s="70"/>
      <c r="F961" s="55"/>
      <c r="G961" s="17"/>
      <c r="H961" s="17"/>
      <c r="I961" s="55"/>
      <c r="J961" s="55"/>
      <c r="K961" s="55"/>
      <c r="L961" s="55"/>
      <c r="M961" s="82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  <c r="AH961" s="55"/>
      <c r="AI961" s="55"/>
    </row>
    <row r="962" spans="1:35" ht="13.5" customHeight="1">
      <c r="A962" s="55"/>
      <c r="B962" s="55"/>
      <c r="C962" s="55"/>
      <c r="D962" s="55"/>
      <c r="E962" s="70"/>
      <c r="F962" s="55"/>
      <c r="G962" s="17"/>
      <c r="H962" s="17"/>
      <c r="I962" s="55"/>
      <c r="J962" s="55"/>
      <c r="K962" s="55"/>
      <c r="L962" s="55"/>
      <c r="M962" s="82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  <c r="AH962" s="55"/>
      <c r="AI962" s="55"/>
    </row>
    <row r="963" spans="1:35" ht="13.5" customHeight="1">
      <c r="A963" s="55"/>
      <c r="B963" s="55"/>
      <c r="C963" s="55"/>
      <c r="D963" s="55"/>
      <c r="E963" s="70"/>
      <c r="F963" s="55"/>
      <c r="G963" s="17"/>
      <c r="H963" s="17"/>
      <c r="I963" s="55"/>
      <c r="J963" s="55"/>
      <c r="K963" s="55"/>
      <c r="L963" s="55"/>
      <c r="M963" s="82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</row>
    <row r="964" spans="1:35" ht="13.5" customHeight="1">
      <c r="A964" s="55"/>
      <c r="B964" s="55"/>
      <c r="C964" s="55"/>
      <c r="D964" s="55"/>
      <c r="E964" s="70"/>
      <c r="F964" s="55"/>
      <c r="G964" s="17"/>
      <c r="H964" s="17"/>
      <c r="I964" s="55"/>
      <c r="J964" s="55"/>
      <c r="K964" s="55"/>
      <c r="L964" s="55"/>
      <c r="M964" s="82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  <c r="AH964" s="55"/>
      <c r="AI964" s="55"/>
    </row>
    <row r="965" spans="1:35" ht="13.5" customHeight="1">
      <c r="A965" s="55"/>
      <c r="B965" s="55"/>
      <c r="C965" s="55"/>
      <c r="D965" s="55"/>
      <c r="E965" s="70"/>
      <c r="F965" s="55"/>
      <c r="G965" s="17"/>
      <c r="H965" s="17"/>
      <c r="I965" s="55"/>
      <c r="J965" s="55"/>
      <c r="K965" s="55"/>
      <c r="L965" s="55"/>
      <c r="M965" s="82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</row>
    <row r="966" spans="1:35" ht="13.5" customHeight="1">
      <c r="A966" s="55"/>
      <c r="B966" s="55"/>
      <c r="C966" s="55"/>
      <c r="D966" s="55"/>
      <c r="E966" s="70"/>
      <c r="F966" s="55"/>
      <c r="G966" s="17"/>
      <c r="H966" s="17"/>
      <c r="I966" s="55"/>
      <c r="J966" s="55"/>
      <c r="K966" s="55"/>
      <c r="L966" s="55"/>
      <c r="M966" s="82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</row>
    <row r="967" spans="1:35" ht="13.5" customHeight="1">
      <c r="A967" s="55"/>
      <c r="B967" s="55"/>
      <c r="C967" s="55"/>
      <c r="D967" s="55"/>
      <c r="E967" s="70"/>
      <c r="F967" s="55"/>
      <c r="G967" s="17"/>
      <c r="H967" s="17"/>
      <c r="I967" s="55"/>
      <c r="J967" s="55"/>
      <c r="K967" s="55"/>
      <c r="L967" s="55"/>
      <c r="M967" s="82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  <c r="AH967" s="55"/>
      <c r="AI967" s="55"/>
    </row>
    <row r="968" spans="1:35" ht="13.5" customHeight="1">
      <c r="A968" s="55"/>
      <c r="B968" s="55"/>
      <c r="C968" s="55"/>
      <c r="D968" s="55"/>
      <c r="E968" s="70"/>
      <c r="F968" s="55"/>
      <c r="G968" s="17"/>
      <c r="H968" s="17"/>
      <c r="I968" s="55"/>
      <c r="J968" s="55"/>
      <c r="K968" s="55"/>
      <c r="L968" s="55"/>
      <c r="M968" s="82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</row>
    <row r="969" spans="1:35" ht="13.5" customHeight="1">
      <c r="A969" s="55"/>
      <c r="B969" s="55"/>
      <c r="C969" s="55"/>
      <c r="D969" s="55"/>
      <c r="E969" s="70"/>
      <c r="F969" s="55"/>
      <c r="G969" s="17"/>
      <c r="H969" s="17"/>
      <c r="I969" s="55"/>
      <c r="J969" s="55"/>
      <c r="K969" s="55"/>
      <c r="L969" s="55"/>
      <c r="M969" s="82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F969" s="55"/>
      <c r="AG969" s="55"/>
      <c r="AH969" s="55"/>
      <c r="AI969" s="55"/>
    </row>
    <row r="970" spans="1:35" ht="13.5" customHeight="1">
      <c r="A970" s="55"/>
      <c r="B970" s="55"/>
      <c r="C970" s="55"/>
      <c r="D970" s="55"/>
      <c r="E970" s="70"/>
      <c r="F970" s="55"/>
      <c r="G970" s="17"/>
      <c r="H970" s="17"/>
      <c r="I970" s="55"/>
      <c r="J970" s="55"/>
      <c r="K970" s="55"/>
      <c r="L970" s="55"/>
      <c r="M970" s="82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  <c r="AG970" s="55"/>
      <c r="AH970" s="55"/>
      <c r="AI970" s="55"/>
    </row>
    <row r="971" spans="1:35" ht="13.5" customHeight="1">
      <c r="A971" s="55"/>
      <c r="B971" s="55"/>
      <c r="C971" s="55"/>
      <c r="D971" s="55"/>
      <c r="E971" s="70"/>
      <c r="F971" s="55"/>
      <c r="G971" s="17"/>
      <c r="H971" s="17"/>
      <c r="I971" s="55"/>
      <c r="J971" s="55"/>
      <c r="K971" s="55"/>
      <c r="L971" s="55"/>
      <c r="M971" s="82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  <c r="AH971" s="55"/>
      <c r="AI971" s="55"/>
    </row>
    <row r="972" spans="1:35" ht="13.5" customHeight="1">
      <c r="A972" s="55"/>
      <c r="B972" s="55"/>
      <c r="C972" s="55"/>
      <c r="D972" s="55"/>
      <c r="E972" s="70"/>
      <c r="F972" s="55"/>
      <c r="G972" s="17"/>
      <c r="H972" s="17"/>
      <c r="I972" s="55"/>
      <c r="J972" s="55"/>
      <c r="K972" s="55"/>
      <c r="L972" s="55"/>
      <c r="M972" s="82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  <c r="AH972" s="55"/>
      <c r="AI972" s="55"/>
    </row>
    <row r="973" spans="1:35" ht="13.5" customHeight="1">
      <c r="A973" s="55"/>
      <c r="B973" s="55"/>
      <c r="C973" s="55"/>
      <c r="D973" s="55"/>
      <c r="E973" s="70"/>
      <c r="F973" s="55"/>
      <c r="G973" s="17"/>
      <c r="H973" s="17"/>
      <c r="I973" s="55"/>
      <c r="J973" s="55"/>
      <c r="K973" s="55"/>
      <c r="L973" s="55"/>
      <c r="M973" s="82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  <c r="AH973" s="55"/>
      <c r="AI973" s="55"/>
    </row>
    <row r="974" spans="1:35" ht="13.5" customHeight="1">
      <c r="A974" s="55"/>
      <c r="B974" s="55"/>
      <c r="C974" s="55"/>
      <c r="D974" s="55"/>
      <c r="E974" s="70"/>
      <c r="F974" s="55"/>
      <c r="G974" s="17"/>
      <c r="H974" s="17"/>
      <c r="I974" s="55"/>
      <c r="J974" s="55"/>
      <c r="K974" s="55"/>
      <c r="L974" s="55"/>
      <c r="M974" s="82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F974" s="55"/>
      <c r="AG974" s="55"/>
      <c r="AH974" s="55"/>
      <c r="AI974" s="55"/>
    </row>
    <row r="975" spans="1:35" ht="13.5" customHeight="1">
      <c r="A975" s="55"/>
      <c r="B975" s="55"/>
      <c r="C975" s="55"/>
      <c r="D975" s="55"/>
      <c r="E975" s="70"/>
      <c r="F975" s="55"/>
      <c r="G975" s="17"/>
      <c r="H975" s="17"/>
      <c r="I975" s="55"/>
      <c r="J975" s="55"/>
      <c r="K975" s="55"/>
      <c r="L975" s="55"/>
      <c r="M975" s="82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F975" s="55"/>
      <c r="AG975" s="55"/>
      <c r="AH975" s="55"/>
      <c r="AI975" s="55"/>
    </row>
    <row r="976" spans="1:35" ht="13.5" customHeight="1">
      <c r="A976" s="55"/>
      <c r="B976" s="55"/>
      <c r="C976" s="55"/>
      <c r="D976" s="55"/>
      <c r="E976" s="70"/>
      <c r="F976" s="55"/>
      <c r="G976" s="17"/>
      <c r="H976" s="17"/>
      <c r="I976" s="55"/>
      <c r="J976" s="55"/>
      <c r="K976" s="55"/>
      <c r="L976" s="55"/>
      <c r="M976" s="82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F976" s="55"/>
      <c r="AG976" s="55"/>
      <c r="AH976" s="55"/>
      <c r="AI976" s="55"/>
    </row>
    <row r="977" spans="1:35" ht="13.5" customHeight="1">
      <c r="A977" s="55"/>
      <c r="B977" s="55"/>
      <c r="C977" s="55"/>
      <c r="D977" s="55"/>
      <c r="E977" s="70"/>
      <c r="F977" s="55"/>
      <c r="G977" s="17"/>
      <c r="H977" s="17"/>
      <c r="I977" s="55"/>
      <c r="J977" s="55"/>
      <c r="K977" s="55"/>
      <c r="L977" s="55"/>
      <c r="M977" s="82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F977" s="55"/>
      <c r="AG977" s="55"/>
      <c r="AH977" s="55"/>
      <c r="AI977" s="55"/>
    </row>
    <row r="978" spans="1:35" ht="13.5" customHeight="1">
      <c r="A978" s="55"/>
      <c r="B978" s="55"/>
      <c r="C978" s="55"/>
      <c r="D978" s="55"/>
      <c r="E978" s="70"/>
      <c r="F978" s="55"/>
      <c r="G978" s="17"/>
      <c r="H978" s="17"/>
      <c r="I978" s="55"/>
      <c r="J978" s="55"/>
      <c r="K978" s="55"/>
      <c r="L978" s="55"/>
      <c r="M978" s="82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  <c r="AH978" s="55"/>
      <c r="AI978" s="55"/>
    </row>
    <row r="979" spans="1:35" ht="13.5" customHeight="1">
      <c r="A979" s="55"/>
      <c r="B979" s="55"/>
      <c r="C979" s="55"/>
      <c r="D979" s="55"/>
      <c r="E979" s="70"/>
      <c r="F979" s="55"/>
      <c r="G979" s="17"/>
      <c r="H979" s="17"/>
      <c r="I979" s="55"/>
      <c r="J979" s="55"/>
      <c r="K979" s="55"/>
      <c r="L979" s="55"/>
      <c r="M979" s="82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F979" s="55"/>
      <c r="AG979" s="55"/>
      <c r="AH979" s="55"/>
      <c r="AI979" s="55"/>
    </row>
    <row r="980" spans="1:35" ht="13.5" customHeight="1">
      <c r="A980" s="55"/>
      <c r="B980" s="55"/>
      <c r="C980" s="55"/>
      <c r="D980" s="55"/>
      <c r="E980" s="70"/>
      <c r="F980" s="55"/>
      <c r="G980" s="17"/>
      <c r="H980" s="17"/>
      <c r="I980" s="55"/>
      <c r="J980" s="55"/>
      <c r="K980" s="55"/>
      <c r="L980" s="55"/>
      <c r="M980" s="82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  <c r="AH980" s="55"/>
      <c r="AI980" s="55"/>
    </row>
    <row r="981" spans="1:35" ht="13.5" customHeight="1">
      <c r="A981" s="55"/>
      <c r="B981" s="55"/>
      <c r="C981" s="55"/>
      <c r="D981" s="55"/>
      <c r="E981" s="70"/>
      <c r="F981" s="55"/>
      <c r="G981" s="17"/>
      <c r="H981" s="17"/>
      <c r="I981" s="55"/>
      <c r="J981" s="55"/>
      <c r="K981" s="55"/>
      <c r="L981" s="55"/>
      <c r="M981" s="82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  <c r="AH981" s="55"/>
      <c r="AI981" s="55"/>
    </row>
    <row r="982" spans="1:35" ht="13.5" customHeight="1">
      <c r="A982" s="55"/>
      <c r="B982" s="55"/>
      <c r="C982" s="55"/>
      <c r="D982" s="55"/>
      <c r="E982" s="70"/>
      <c r="F982" s="55"/>
      <c r="G982" s="17"/>
      <c r="H982" s="17"/>
      <c r="I982" s="55"/>
      <c r="J982" s="55"/>
      <c r="K982" s="55"/>
      <c r="L982" s="55"/>
      <c r="M982" s="82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F982" s="55"/>
      <c r="AG982" s="55"/>
      <c r="AH982" s="55"/>
      <c r="AI982" s="55"/>
    </row>
    <row r="983" spans="1:35" ht="13.5" customHeight="1">
      <c r="A983" s="55"/>
      <c r="B983" s="55"/>
      <c r="C983" s="55"/>
      <c r="D983" s="55"/>
      <c r="E983" s="70"/>
      <c r="F983" s="55"/>
      <c r="G983" s="17"/>
      <c r="H983" s="17"/>
      <c r="I983" s="55"/>
      <c r="J983" s="55"/>
      <c r="K983" s="55"/>
      <c r="L983" s="55"/>
      <c r="M983" s="82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F983" s="55"/>
      <c r="AG983" s="55"/>
      <c r="AH983" s="55"/>
      <c r="AI983" s="55"/>
    </row>
    <row r="984" spans="1:35" ht="13.5" customHeight="1">
      <c r="A984" s="55"/>
      <c r="B984" s="55"/>
      <c r="C984" s="55"/>
      <c r="D984" s="55"/>
      <c r="E984" s="70"/>
      <c r="F984" s="55"/>
      <c r="G984" s="17"/>
      <c r="H984" s="17"/>
      <c r="I984" s="55"/>
      <c r="J984" s="55"/>
      <c r="K984" s="55"/>
      <c r="L984" s="55"/>
      <c r="M984" s="82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  <c r="AH984" s="55"/>
      <c r="AI984" s="55"/>
    </row>
    <row r="985" spans="1:35" ht="13.5" customHeight="1">
      <c r="A985" s="55"/>
      <c r="B985" s="55"/>
      <c r="C985" s="55"/>
      <c r="D985" s="55"/>
      <c r="E985" s="70"/>
      <c r="F985" s="55"/>
      <c r="G985" s="17"/>
      <c r="H985" s="17"/>
      <c r="I985" s="55"/>
      <c r="J985" s="55"/>
      <c r="K985" s="55"/>
      <c r="L985" s="55"/>
      <c r="M985" s="82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</row>
    <row r="986" spans="1:35" ht="13.5" customHeight="1">
      <c r="A986" s="55"/>
      <c r="B986" s="55"/>
      <c r="C986" s="55"/>
      <c r="D986" s="55"/>
      <c r="E986" s="70"/>
      <c r="F986" s="55"/>
      <c r="G986" s="17"/>
      <c r="H986" s="17"/>
      <c r="I986" s="55"/>
      <c r="J986" s="55"/>
      <c r="K986" s="55"/>
      <c r="L986" s="55"/>
      <c r="M986" s="82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  <c r="AH986" s="55"/>
      <c r="AI986" s="55"/>
    </row>
    <row r="987" spans="1:35" ht="13.5" customHeight="1">
      <c r="A987" s="55"/>
      <c r="B987" s="55"/>
      <c r="C987" s="55"/>
      <c r="D987" s="55"/>
      <c r="E987" s="70"/>
      <c r="F987" s="55"/>
      <c r="G987" s="17"/>
      <c r="H987" s="17"/>
      <c r="I987" s="55"/>
      <c r="J987" s="55"/>
      <c r="K987" s="55"/>
      <c r="L987" s="55"/>
      <c r="M987" s="82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  <c r="AE987" s="55"/>
      <c r="AF987" s="55"/>
      <c r="AG987" s="55"/>
      <c r="AH987" s="55"/>
      <c r="AI987" s="55"/>
    </row>
    <row r="988" spans="1:35" ht="13.5" customHeight="1">
      <c r="A988" s="55"/>
      <c r="B988" s="55"/>
      <c r="C988" s="55"/>
      <c r="D988" s="55"/>
      <c r="E988" s="70"/>
      <c r="F988" s="55"/>
      <c r="G988" s="17"/>
      <c r="H988" s="17"/>
      <c r="I988" s="55"/>
      <c r="J988" s="55"/>
      <c r="K988" s="55"/>
      <c r="L988" s="55"/>
      <c r="M988" s="82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  <c r="AE988" s="55"/>
      <c r="AF988" s="55"/>
      <c r="AG988" s="55"/>
      <c r="AH988" s="55"/>
      <c r="AI988" s="55"/>
    </row>
    <row r="989" spans="1:35" ht="13.5" customHeight="1">
      <c r="A989" s="55"/>
      <c r="B989" s="55"/>
      <c r="C989" s="55"/>
      <c r="D989" s="55"/>
      <c r="E989" s="70"/>
      <c r="F989" s="55"/>
      <c r="G989" s="17"/>
      <c r="H989" s="17"/>
      <c r="I989" s="55"/>
      <c r="J989" s="55"/>
      <c r="K989" s="55"/>
      <c r="L989" s="55"/>
      <c r="M989" s="82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  <c r="AE989" s="55"/>
      <c r="AF989" s="55"/>
      <c r="AG989" s="55"/>
      <c r="AH989" s="55"/>
      <c r="AI989" s="55"/>
    </row>
    <row r="990" spans="1:35" ht="13.5" customHeight="1">
      <c r="A990" s="55"/>
      <c r="B990" s="55"/>
      <c r="C990" s="55"/>
      <c r="D990" s="55"/>
      <c r="E990" s="70"/>
      <c r="F990" s="55"/>
      <c r="G990" s="17"/>
      <c r="H990" s="17"/>
      <c r="I990" s="55"/>
      <c r="J990" s="55"/>
      <c r="K990" s="55"/>
      <c r="L990" s="55"/>
      <c r="M990" s="82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55"/>
      <c r="AG990" s="55"/>
      <c r="AH990" s="55"/>
      <c r="AI990" s="55"/>
    </row>
    <row r="991" spans="1:35" ht="13.5" customHeight="1">
      <c r="A991" s="55"/>
      <c r="B991" s="55"/>
      <c r="C991" s="55"/>
      <c r="D991" s="55"/>
      <c r="E991" s="70"/>
      <c r="F991" s="55"/>
      <c r="G991" s="17"/>
      <c r="H991" s="17"/>
      <c r="I991" s="55"/>
      <c r="J991" s="55"/>
      <c r="K991" s="55"/>
      <c r="L991" s="55"/>
      <c r="M991" s="82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  <c r="AH991" s="55"/>
      <c r="AI991" s="55"/>
    </row>
    <row r="992" spans="1:35" ht="13.5" customHeight="1">
      <c r="A992" s="55"/>
      <c r="B992" s="55"/>
      <c r="C992" s="55"/>
      <c r="D992" s="55"/>
      <c r="E992" s="70"/>
      <c r="F992" s="55"/>
      <c r="G992" s="17"/>
      <c r="H992" s="17"/>
      <c r="I992" s="55"/>
      <c r="J992" s="55"/>
      <c r="K992" s="55"/>
      <c r="L992" s="55"/>
      <c r="M992" s="82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55"/>
      <c r="AG992" s="55"/>
      <c r="AH992" s="55"/>
      <c r="AI992" s="55"/>
    </row>
    <row r="993" spans="1:35" ht="13.5" customHeight="1">
      <c r="A993" s="55"/>
      <c r="B993" s="55"/>
      <c r="C993" s="55"/>
      <c r="D993" s="55"/>
      <c r="E993" s="70"/>
      <c r="F993" s="55"/>
      <c r="G993" s="17"/>
      <c r="H993" s="17"/>
      <c r="I993" s="55"/>
      <c r="J993" s="55"/>
      <c r="K993" s="55"/>
      <c r="L993" s="55"/>
      <c r="M993" s="82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55"/>
      <c r="AG993" s="55"/>
      <c r="AH993" s="55"/>
      <c r="AI993" s="55"/>
    </row>
    <row r="994" spans="1:35" ht="13.5" customHeight="1">
      <c r="A994" s="55"/>
      <c r="B994" s="55"/>
      <c r="C994" s="55"/>
      <c r="D994" s="55"/>
      <c r="E994" s="70"/>
      <c r="F994" s="55"/>
      <c r="G994" s="17"/>
      <c r="H994" s="17"/>
      <c r="I994" s="55"/>
      <c r="J994" s="55"/>
      <c r="K994" s="55"/>
      <c r="L994" s="55"/>
      <c r="M994" s="82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  <c r="AE994" s="55"/>
      <c r="AF994" s="55"/>
      <c r="AG994" s="55"/>
      <c r="AH994" s="55"/>
      <c r="AI994" s="55"/>
    </row>
    <row r="995" spans="1:35" ht="13.5" customHeight="1">
      <c r="A995" s="55"/>
      <c r="B995" s="55"/>
      <c r="C995" s="55"/>
      <c r="D995" s="55"/>
      <c r="E995" s="70"/>
      <c r="F995" s="55"/>
      <c r="G995" s="17"/>
      <c r="H995" s="17"/>
      <c r="I995" s="55"/>
      <c r="J995" s="55"/>
      <c r="K995" s="55"/>
      <c r="L995" s="55"/>
      <c r="M995" s="82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  <c r="AE995" s="55"/>
      <c r="AF995" s="55"/>
      <c r="AG995" s="55"/>
      <c r="AH995" s="55"/>
      <c r="AI995" s="55"/>
    </row>
    <row r="996" spans="1:35" ht="13.5" customHeight="1">
      <c r="A996" s="55"/>
      <c r="B996" s="55"/>
      <c r="C996" s="55"/>
      <c r="D996" s="55"/>
      <c r="E996" s="70"/>
      <c r="F996" s="55"/>
      <c r="G996" s="17"/>
      <c r="H996" s="17"/>
      <c r="I996" s="55"/>
      <c r="J996" s="55"/>
      <c r="K996" s="55"/>
      <c r="L996" s="55"/>
      <c r="M996" s="82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55"/>
      <c r="AG996" s="55"/>
      <c r="AH996" s="55"/>
      <c r="AI996" s="55"/>
    </row>
    <row r="997" spans="1:35" ht="13.5" customHeight="1">
      <c r="A997" s="55"/>
      <c r="B997" s="55"/>
      <c r="C997" s="55"/>
      <c r="D997" s="55"/>
      <c r="E997" s="70"/>
      <c r="F997" s="55"/>
      <c r="G997" s="17"/>
      <c r="H997" s="17"/>
      <c r="I997" s="55"/>
      <c r="J997" s="55"/>
      <c r="K997" s="55"/>
      <c r="L997" s="55"/>
      <c r="M997" s="82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  <c r="AE997" s="55"/>
      <c r="AF997" s="55"/>
      <c r="AG997" s="55"/>
      <c r="AH997" s="55"/>
      <c r="AI997" s="55"/>
    </row>
    <row r="998" spans="1:35" ht="13.5" customHeight="1">
      <c r="A998" s="55"/>
      <c r="B998" s="55"/>
      <c r="C998" s="55"/>
      <c r="D998" s="55"/>
      <c r="E998" s="70"/>
      <c r="F998" s="55"/>
      <c r="G998" s="17"/>
      <c r="H998" s="17"/>
      <c r="I998" s="55"/>
      <c r="J998" s="55"/>
      <c r="K998" s="55"/>
      <c r="L998" s="55"/>
      <c r="M998" s="82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  <c r="AE998" s="55"/>
      <c r="AF998" s="55"/>
      <c r="AG998" s="55"/>
      <c r="AH998" s="55"/>
      <c r="AI998" s="55"/>
    </row>
  </sheetData>
  <conditionalFormatting sqref="O10 Q10">
    <cfRule type="expression" dxfId="38" priority="1">
      <formula>AND(ISNUMBER(O10),TRUNC(O10)&gt;TODAY())</formula>
    </cfRule>
  </conditionalFormatting>
  <dataValidations count="6">
    <dataValidation type="list" allowBlank="1" sqref="G1">
      <formula1>$AD$7</formula1>
    </dataValidation>
    <dataValidation type="list" allowBlank="1" sqref="H10">
      <formula1>$AI$2:$AI$3</formula1>
    </dataValidation>
    <dataValidation type="custom" allowBlank="1" showDropDown="1" sqref="E1 E8:F9 F10">
      <formula1>OR(NOT(ISERROR(DATEVALUE(E1))), AND(ISNUMBER(E1), LEFT(CELL("format", E1))="D"))</formula1>
    </dataValidation>
    <dataValidation type="list" allowBlank="1" sqref="H6">
      <formula1>$AL$2:$AL$3</formula1>
    </dataValidation>
    <dataValidation type="list" allowBlank="1" sqref="H1:H5 H7 H11 H13:H20 H24:H32 H34:H998">
      <formula1>$AD$3:$AD$4</formula1>
    </dataValidation>
    <dataValidation type="list" allowBlank="1" sqref="H8:H9">
      <formula1>$AH$2:$AH$3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rightToLeft="1" workbookViewId="0">
      <selection activeCell="E10" sqref="E10"/>
    </sheetView>
  </sheetViews>
  <sheetFormatPr defaultColWidth="14.42578125" defaultRowHeight="15.75" customHeight="1"/>
  <cols>
    <col min="1" max="1" width="4.140625" customWidth="1"/>
    <col min="2" max="2" width="17.85546875" customWidth="1"/>
  </cols>
  <sheetData>
    <row r="1" spans="1:29">
      <c r="A1" s="123" t="s">
        <v>0</v>
      </c>
      <c r="B1" s="124" t="s">
        <v>1</v>
      </c>
      <c r="C1" s="124" t="s">
        <v>2</v>
      </c>
      <c r="D1" s="124" t="s">
        <v>3</v>
      </c>
      <c r="E1" s="124" t="s">
        <v>20</v>
      </c>
      <c r="F1" s="125" t="s">
        <v>128</v>
      </c>
      <c r="G1" s="124" t="s">
        <v>129</v>
      </c>
      <c r="H1" s="124" t="s">
        <v>22</v>
      </c>
      <c r="I1" s="126" t="s">
        <v>5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</row>
    <row r="2" spans="1:29">
      <c r="A2" s="122">
        <v>1</v>
      </c>
      <c r="B2" s="85" t="s">
        <v>130</v>
      </c>
      <c r="C2" s="55" t="s">
        <v>131</v>
      </c>
      <c r="D2" s="54" t="s">
        <v>7</v>
      </c>
      <c r="E2" s="55"/>
      <c r="F2" s="70">
        <v>44530</v>
      </c>
      <c r="G2" s="54" t="s">
        <v>132</v>
      </c>
      <c r="H2" s="54" t="s">
        <v>133</v>
      </c>
      <c r="I2" s="110" t="s">
        <v>134</v>
      </c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4"/>
    </row>
    <row r="3" spans="1:29">
      <c r="A3" s="122">
        <v>2</v>
      </c>
      <c r="B3" s="85" t="s">
        <v>135</v>
      </c>
      <c r="C3" s="61" t="s">
        <v>136</v>
      </c>
      <c r="D3" s="54" t="s">
        <v>7</v>
      </c>
      <c r="E3" s="55"/>
      <c r="F3" s="70"/>
      <c r="G3" s="55" t="s">
        <v>137</v>
      </c>
      <c r="H3" s="54" t="s">
        <v>133</v>
      </c>
      <c r="I3" s="110" t="s">
        <v>134</v>
      </c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4"/>
    </row>
    <row r="4" spans="1:29">
      <c r="A4" s="122">
        <v>3</v>
      </c>
      <c r="B4" s="55" t="s">
        <v>138</v>
      </c>
      <c r="C4" s="55" t="s">
        <v>139</v>
      </c>
      <c r="D4" s="54" t="s">
        <v>7</v>
      </c>
      <c r="E4" s="70">
        <v>44497</v>
      </c>
      <c r="F4" s="70"/>
      <c r="G4" s="61" t="s">
        <v>140</v>
      </c>
      <c r="H4" s="54" t="s">
        <v>133</v>
      </c>
      <c r="I4" s="110" t="s">
        <v>134</v>
      </c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spans="1:29">
      <c r="A5" s="122">
        <v>4</v>
      </c>
      <c r="B5" s="55" t="s">
        <v>141</v>
      </c>
      <c r="C5" s="55" t="s">
        <v>142</v>
      </c>
      <c r="D5" s="54" t="s">
        <v>7</v>
      </c>
      <c r="E5" s="55"/>
      <c r="F5" s="70"/>
      <c r="G5" s="54" t="s">
        <v>132</v>
      </c>
      <c r="H5" s="54" t="s">
        <v>133</v>
      </c>
      <c r="I5" s="110" t="s">
        <v>9</v>
      </c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</row>
    <row r="6" spans="1:29">
      <c r="A6" s="122">
        <v>5</v>
      </c>
      <c r="B6" s="55" t="s">
        <v>143</v>
      </c>
      <c r="C6" s="55"/>
      <c r="D6" s="54" t="s">
        <v>7</v>
      </c>
      <c r="E6" s="55"/>
      <c r="F6" s="70"/>
      <c r="G6" s="54" t="s">
        <v>132</v>
      </c>
      <c r="H6" s="54" t="s">
        <v>133</v>
      </c>
      <c r="I6" s="110" t="s">
        <v>9</v>
      </c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</row>
    <row r="7" spans="1:29">
      <c r="A7" s="127">
        <v>6</v>
      </c>
      <c r="B7" s="128" t="s">
        <v>144</v>
      </c>
      <c r="C7" s="128" t="s">
        <v>145</v>
      </c>
      <c r="D7" s="128" t="s">
        <v>7</v>
      </c>
      <c r="E7" s="128"/>
      <c r="F7" s="129"/>
      <c r="G7" s="128" t="s">
        <v>132</v>
      </c>
      <c r="H7" s="128" t="s">
        <v>133</v>
      </c>
      <c r="I7" s="130" t="s">
        <v>134</v>
      </c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4"/>
    </row>
    <row r="8" spans="1:29">
      <c r="A8" s="55"/>
      <c r="B8" s="55"/>
      <c r="C8" s="55"/>
      <c r="D8" s="55"/>
      <c r="E8" s="55"/>
      <c r="F8" s="70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4"/>
    </row>
    <row r="9" spans="1:29">
      <c r="A9" s="55"/>
      <c r="B9" s="55"/>
      <c r="C9" s="55"/>
      <c r="D9" s="55"/>
      <c r="E9" s="55"/>
      <c r="F9" s="70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</row>
    <row r="10" spans="1:29">
      <c r="A10" s="55"/>
      <c r="B10" s="55"/>
      <c r="C10" s="55"/>
      <c r="D10" s="55"/>
      <c r="E10" s="55"/>
      <c r="F10" s="70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</row>
    <row r="11" spans="1:29">
      <c r="A11" s="55"/>
      <c r="B11" s="55"/>
      <c r="C11" s="55"/>
      <c r="D11" s="55"/>
      <c r="E11" s="55"/>
      <c r="F11" s="70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29">
      <c r="A12" s="55"/>
      <c r="B12" s="55"/>
      <c r="C12" s="55"/>
      <c r="D12" s="55"/>
      <c r="E12" s="55"/>
      <c r="F12" s="70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</row>
    <row r="13" spans="1:29">
      <c r="A13" s="55"/>
      <c r="B13" s="55"/>
      <c r="C13" s="55"/>
      <c r="D13" s="55"/>
      <c r="E13" s="55"/>
      <c r="F13" s="70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</row>
    <row r="14" spans="1:29">
      <c r="A14" s="55"/>
      <c r="B14" s="55"/>
      <c r="C14" s="55"/>
      <c r="D14" s="55"/>
      <c r="E14" s="55"/>
      <c r="F14" s="70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</row>
    <row r="15" spans="1:29">
      <c r="A15" s="55"/>
      <c r="B15" s="55"/>
      <c r="C15" s="55"/>
      <c r="D15" s="55"/>
      <c r="E15" s="55"/>
      <c r="F15" s="70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</row>
    <row r="16" spans="1:29">
      <c r="A16" s="55"/>
      <c r="B16" s="55"/>
      <c r="C16" s="55"/>
      <c r="D16" s="55"/>
      <c r="E16" s="55"/>
      <c r="F16" s="70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</row>
    <row r="17" spans="1:29">
      <c r="A17" s="55"/>
      <c r="B17" s="55"/>
      <c r="C17" s="55"/>
      <c r="D17" s="55"/>
      <c r="E17" s="55"/>
      <c r="F17" s="70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</row>
    <row r="18" spans="1:29">
      <c r="A18" s="55"/>
      <c r="B18" s="55"/>
      <c r="C18" s="55"/>
      <c r="D18" s="55"/>
      <c r="E18" s="55"/>
      <c r="F18" s="70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</row>
    <row r="19" spans="1:29">
      <c r="A19" s="55"/>
      <c r="B19" s="55"/>
      <c r="C19" s="55"/>
      <c r="D19" s="55"/>
      <c r="E19" s="55"/>
      <c r="F19" s="70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</row>
    <row r="20" spans="1:29">
      <c r="A20" s="55"/>
      <c r="B20" s="55"/>
      <c r="C20" s="55"/>
      <c r="D20" s="55"/>
      <c r="E20" s="55"/>
      <c r="F20" s="70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</row>
    <row r="21" spans="1:29">
      <c r="A21" s="55"/>
      <c r="B21" s="55"/>
      <c r="C21" s="55"/>
      <c r="D21" s="55"/>
      <c r="E21" s="55"/>
      <c r="F21" s="70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</row>
    <row r="22" spans="1:29">
      <c r="A22" s="55"/>
      <c r="B22" s="55"/>
      <c r="C22" s="55"/>
      <c r="D22" s="55"/>
      <c r="E22" s="55"/>
      <c r="F22" s="70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</row>
    <row r="23" spans="1:29">
      <c r="A23" s="55"/>
      <c r="B23" s="55"/>
      <c r="C23" s="55"/>
      <c r="D23" s="55"/>
      <c r="E23" s="55"/>
      <c r="F23" s="70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</row>
    <row r="24" spans="1:29">
      <c r="A24" s="55"/>
      <c r="B24" s="55"/>
      <c r="C24" s="55"/>
      <c r="D24" s="55"/>
      <c r="E24" s="55"/>
      <c r="F24" s="70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</row>
    <row r="25" spans="1:29">
      <c r="A25" s="55"/>
      <c r="B25" s="55"/>
      <c r="C25" s="55"/>
      <c r="D25" s="55"/>
      <c r="E25" s="55"/>
      <c r="F25" s="70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</row>
    <row r="26" spans="1:29">
      <c r="A26" s="55"/>
      <c r="B26" s="55"/>
      <c r="C26" s="55"/>
      <c r="D26" s="55"/>
      <c r="E26" s="55"/>
      <c r="F26" s="70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</row>
    <row r="27" spans="1:29">
      <c r="A27" s="55"/>
      <c r="B27" s="55"/>
      <c r="C27" s="55"/>
      <c r="D27" s="55"/>
      <c r="E27" s="55"/>
      <c r="F27" s="70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</row>
    <row r="28" spans="1:29">
      <c r="A28" s="55"/>
      <c r="B28" s="55"/>
      <c r="C28" s="55"/>
      <c r="D28" s="55"/>
      <c r="E28" s="55"/>
      <c r="F28" s="70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</row>
    <row r="29" spans="1:29">
      <c r="A29" s="55"/>
      <c r="B29" s="55"/>
      <c r="C29" s="55"/>
      <c r="D29" s="55"/>
      <c r="E29" s="55"/>
      <c r="F29" s="70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</row>
    <row r="30" spans="1:29">
      <c r="A30" s="55"/>
      <c r="B30" s="55"/>
      <c r="C30" s="55"/>
      <c r="D30" s="55"/>
      <c r="E30" s="55"/>
      <c r="F30" s="70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</row>
    <row r="31" spans="1:29">
      <c r="A31" s="55"/>
      <c r="B31" s="55"/>
      <c r="C31" s="55"/>
      <c r="D31" s="55"/>
      <c r="E31" s="55"/>
      <c r="F31" s="70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</row>
    <row r="32" spans="1:29">
      <c r="A32" s="55"/>
      <c r="B32" s="55"/>
      <c r="C32" s="55"/>
      <c r="D32" s="55"/>
      <c r="E32" s="55"/>
      <c r="F32" s="70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</row>
    <row r="33" spans="1:29">
      <c r="A33" s="55"/>
      <c r="B33" s="55"/>
      <c r="C33" s="55"/>
      <c r="D33" s="55"/>
      <c r="E33" s="55"/>
      <c r="F33" s="70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</row>
    <row r="34" spans="1:29">
      <c r="A34" s="55"/>
      <c r="B34" s="55"/>
      <c r="C34" s="55"/>
      <c r="D34" s="55"/>
      <c r="E34" s="55"/>
      <c r="F34" s="70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</row>
    <row r="35" spans="1:29">
      <c r="A35" s="55"/>
      <c r="B35" s="55"/>
      <c r="C35" s="55"/>
      <c r="D35" s="55"/>
      <c r="E35" s="55"/>
      <c r="F35" s="70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</row>
    <row r="36" spans="1:29">
      <c r="A36" s="55"/>
      <c r="B36" s="55"/>
      <c r="C36" s="55"/>
      <c r="D36" s="55"/>
      <c r="E36" s="55"/>
      <c r="F36" s="70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</row>
    <row r="37" spans="1:29">
      <c r="A37" s="55"/>
      <c r="B37" s="55"/>
      <c r="C37" s="55"/>
      <c r="D37" s="55"/>
      <c r="E37" s="55"/>
      <c r="F37" s="70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</row>
    <row r="38" spans="1:29">
      <c r="A38" s="55"/>
      <c r="B38" s="55"/>
      <c r="C38" s="55"/>
      <c r="D38" s="55"/>
      <c r="E38" s="55"/>
      <c r="F38" s="70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</row>
    <row r="39" spans="1:29">
      <c r="A39" s="55"/>
      <c r="B39" s="55"/>
      <c r="C39" s="55"/>
      <c r="D39" s="55"/>
      <c r="E39" s="55"/>
      <c r="F39" s="70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</row>
    <row r="40" spans="1:29">
      <c r="A40" s="55"/>
      <c r="B40" s="55"/>
      <c r="C40" s="55"/>
      <c r="D40" s="55"/>
      <c r="E40" s="55"/>
      <c r="F40" s="70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</row>
    <row r="41" spans="1:29">
      <c r="A41" s="55"/>
      <c r="B41" s="55"/>
      <c r="C41" s="55"/>
      <c r="D41" s="55"/>
      <c r="E41" s="55"/>
      <c r="F41" s="70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</row>
    <row r="42" spans="1:29">
      <c r="A42" s="55"/>
      <c r="B42" s="55"/>
      <c r="C42" s="55"/>
      <c r="D42" s="55"/>
      <c r="E42" s="55"/>
      <c r="F42" s="70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</row>
    <row r="43" spans="1:29">
      <c r="A43" s="55"/>
      <c r="B43" s="55"/>
      <c r="C43" s="55"/>
      <c r="D43" s="55"/>
      <c r="E43" s="55"/>
      <c r="F43" s="70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</row>
    <row r="44" spans="1:29">
      <c r="A44" s="55"/>
      <c r="B44" s="55"/>
      <c r="C44" s="55"/>
      <c r="D44" s="55"/>
      <c r="E44" s="55"/>
      <c r="F44" s="70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</row>
    <row r="45" spans="1:29">
      <c r="A45" s="55"/>
      <c r="B45" s="55"/>
      <c r="C45" s="55"/>
      <c r="D45" s="55"/>
      <c r="E45" s="55"/>
      <c r="F45" s="70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 spans="1:29">
      <c r="A46" s="55"/>
      <c r="B46" s="55"/>
      <c r="C46" s="55"/>
      <c r="D46" s="55"/>
      <c r="E46" s="55"/>
      <c r="F46" s="70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</row>
    <row r="47" spans="1:29">
      <c r="A47" s="55"/>
      <c r="B47" s="55"/>
      <c r="C47" s="55"/>
      <c r="D47" s="55"/>
      <c r="E47" s="55"/>
      <c r="F47" s="70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</row>
    <row r="48" spans="1:29">
      <c r="A48" s="55"/>
      <c r="B48" s="55"/>
      <c r="C48" s="55"/>
      <c r="D48" s="55"/>
      <c r="E48" s="55"/>
      <c r="F48" s="70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</row>
    <row r="49" spans="1:29">
      <c r="A49" s="55"/>
      <c r="B49" s="55"/>
      <c r="C49" s="55"/>
      <c r="D49" s="55"/>
      <c r="E49" s="55"/>
      <c r="F49" s="70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</row>
    <row r="50" spans="1:29">
      <c r="A50" s="55"/>
      <c r="B50" s="55"/>
      <c r="C50" s="55"/>
      <c r="D50" s="55"/>
      <c r="E50" s="55"/>
      <c r="F50" s="70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</row>
    <row r="51" spans="1:29">
      <c r="A51" s="55"/>
      <c r="B51" s="55"/>
      <c r="C51" s="55"/>
      <c r="D51" s="55"/>
      <c r="E51" s="55"/>
      <c r="F51" s="70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</row>
    <row r="52" spans="1:29">
      <c r="A52" s="55"/>
      <c r="B52" s="55"/>
      <c r="C52" s="55"/>
      <c r="D52" s="55"/>
      <c r="E52" s="55"/>
      <c r="F52" s="70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</row>
    <row r="53" spans="1:29">
      <c r="A53" s="55"/>
      <c r="B53" s="55"/>
      <c r="C53" s="55"/>
      <c r="D53" s="55"/>
      <c r="E53" s="55"/>
      <c r="F53" s="70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</row>
    <row r="54" spans="1:29">
      <c r="A54" s="55"/>
      <c r="B54" s="55"/>
      <c r="C54" s="55"/>
      <c r="D54" s="55"/>
      <c r="E54" s="55"/>
      <c r="F54" s="70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</row>
    <row r="55" spans="1:29">
      <c r="A55" s="55"/>
      <c r="B55" s="55"/>
      <c r="C55" s="55"/>
      <c r="D55" s="55"/>
      <c r="E55" s="55"/>
      <c r="F55" s="70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</row>
    <row r="56" spans="1:29">
      <c r="A56" s="55"/>
      <c r="B56" s="55"/>
      <c r="C56" s="55"/>
      <c r="D56" s="55"/>
      <c r="E56" s="55"/>
      <c r="F56" s="70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</row>
    <row r="57" spans="1:29">
      <c r="A57" s="55"/>
      <c r="B57" s="55"/>
      <c r="C57" s="55"/>
      <c r="D57" s="55"/>
      <c r="E57" s="55"/>
      <c r="F57" s="70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</row>
    <row r="58" spans="1:29">
      <c r="A58" s="55"/>
      <c r="B58" s="55"/>
      <c r="C58" s="55"/>
      <c r="D58" s="55"/>
      <c r="E58" s="55"/>
      <c r="F58" s="70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</row>
    <row r="59" spans="1:29">
      <c r="A59" s="55"/>
      <c r="B59" s="55"/>
      <c r="C59" s="55"/>
      <c r="D59" s="55"/>
      <c r="E59" s="55"/>
      <c r="F59" s="70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</row>
    <row r="60" spans="1:29">
      <c r="A60" s="55"/>
      <c r="B60" s="55"/>
      <c r="C60" s="55"/>
      <c r="D60" s="55"/>
      <c r="E60" s="55"/>
      <c r="F60" s="70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</row>
    <row r="61" spans="1:29">
      <c r="A61" s="55"/>
      <c r="B61" s="55"/>
      <c r="C61" s="55"/>
      <c r="D61" s="55"/>
      <c r="E61" s="55"/>
      <c r="F61" s="70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</row>
    <row r="62" spans="1:29">
      <c r="A62" s="55"/>
      <c r="B62" s="55"/>
      <c r="C62" s="55"/>
      <c r="D62" s="55"/>
      <c r="E62" s="55"/>
      <c r="F62" s="70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</row>
    <row r="63" spans="1:29">
      <c r="A63" s="55"/>
      <c r="B63" s="55"/>
      <c r="C63" s="55"/>
      <c r="D63" s="55"/>
      <c r="E63" s="55"/>
      <c r="F63" s="70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</row>
    <row r="64" spans="1:29">
      <c r="A64" s="55"/>
      <c r="B64" s="55"/>
      <c r="C64" s="55"/>
      <c r="D64" s="55"/>
      <c r="E64" s="55"/>
      <c r="F64" s="70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</row>
    <row r="65" spans="1:29">
      <c r="A65" s="55"/>
      <c r="B65" s="55"/>
      <c r="C65" s="55"/>
      <c r="D65" s="55"/>
      <c r="E65" s="55"/>
      <c r="F65" s="70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</row>
    <row r="66" spans="1:29">
      <c r="A66" s="55"/>
      <c r="B66" s="55"/>
      <c r="C66" s="55"/>
      <c r="D66" s="55"/>
      <c r="E66" s="55"/>
      <c r="F66" s="70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</row>
    <row r="67" spans="1:29">
      <c r="A67" s="55"/>
      <c r="B67" s="55"/>
      <c r="C67" s="55"/>
      <c r="D67" s="55"/>
      <c r="E67" s="55"/>
      <c r="F67" s="70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</row>
    <row r="68" spans="1:29">
      <c r="A68" s="55"/>
      <c r="B68" s="55"/>
      <c r="C68" s="55"/>
      <c r="D68" s="55"/>
      <c r="E68" s="55"/>
      <c r="F68" s="70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</row>
    <row r="69" spans="1:29">
      <c r="A69" s="55"/>
      <c r="B69" s="55"/>
      <c r="C69" s="55"/>
      <c r="D69" s="55"/>
      <c r="E69" s="55"/>
      <c r="F69" s="70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</row>
    <row r="70" spans="1:29">
      <c r="A70" s="55"/>
      <c r="B70" s="55"/>
      <c r="C70" s="55"/>
      <c r="D70" s="55"/>
      <c r="E70" s="55"/>
      <c r="F70" s="70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</row>
    <row r="71" spans="1:29">
      <c r="A71" s="55"/>
      <c r="B71" s="55"/>
      <c r="C71" s="55"/>
      <c r="D71" s="55"/>
      <c r="E71" s="55"/>
      <c r="F71" s="70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</row>
    <row r="72" spans="1:29">
      <c r="A72" s="55"/>
      <c r="B72" s="55"/>
      <c r="C72" s="55"/>
      <c r="D72" s="55"/>
      <c r="E72" s="55"/>
      <c r="F72" s="70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</row>
    <row r="73" spans="1:29">
      <c r="A73" s="55"/>
      <c r="B73" s="55"/>
      <c r="C73" s="55"/>
      <c r="D73" s="55"/>
      <c r="E73" s="55"/>
      <c r="F73" s="70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</row>
    <row r="74" spans="1:29">
      <c r="A74" s="55"/>
      <c r="B74" s="55"/>
      <c r="C74" s="55"/>
      <c r="D74" s="55"/>
      <c r="E74" s="55"/>
      <c r="F74" s="70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</row>
    <row r="75" spans="1:29">
      <c r="A75" s="55"/>
      <c r="B75" s="55"/>
      <c r="C75" s="55"/>
      <c r="D75" s="55"/>
      <c r="E75" s="55"/>
      <c r="F75" s="70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>
      <c r="A76" s="55"/>
      <c r="B76" s="55"/>
      <c r="C76" s="55"/>
      <c r="D76" s="55"/>
      <c r="E76" s="55"/>
      <c r="F76" s="70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>
      <c r="A77" s="55"/>
      <c r="B77" s="55"/>
      <c r="C77" s="55"/>
      <c r="D77" s="55"/>
      <c r="E77" s="55"/>
      <c r="F77" s="70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</row>
    <row r="78" spans="1:29">
      <c r="A78" s="55"/>
      <c r="B78" s="55"/>
      <c r="C78" s="55"/>
      <c r="D78" s="55"/>
      <c r="E78" s="55"/>
      <c r="F78" s="70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</row>
    <row r="79" spans="1:29">
      <c r="A79" s="55"/>
      <c r="B79" s="55"/>
      <c r="C79" s="55"/>
      <c r="D79" s="55"/>
      <c r="E79" s="55"/>
      <c r="F79" s="70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</row>
    <row r="80" spans="1:29">
      <c r="A80" s="55"/>
      <c r="B80" s="55"/>
      <c r="C80" s="55"/>
      <c r="D80" s="55"/>
      <c r="E80" s="55"/>
      <c r="F80" s="70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</row>
    <row r="81" spans="1:29">
      <c r="A81" s="55"/>
      <c r="B81" s="55"/>
      <c r="C81" s="55"/>
      <c r="D81" s="55"/>
      <c r="E81" s="55"/>
      <c r="F81" s="70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</row>
    <row r="82" spans="1:29">
      <c r="A82" s="55"/>
      <c r="B82" s="55"/>
      <c r="C82" s="55"/>
      <c r="D82" s="55"/>
      <c r="E82" s="55"/>
      <c r="F82" s="70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</row>
    <row r="83" spans="1:29">
      <c r="A83" s="55"/>
      <c r="B83" s="55"/>
      <c r="C83" s="55"/>
      <c r="D83" s="55"/>
      <c r="E83" s="55"/>
      <c r="F83" s="70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</row>
    <row r="84" spans="1:29">
      <c r="A84" s="55"/>
      <c r="B84" s="55"/>
      <c r="C84" s="55"/>
      <c r="D84" s="55"/>
      <c r="E84" s="55"/>
      <c r="F84" s="70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</row>
    <row r="85" spans="1:29">
      <c r="A85" s="55"/>
      <c r="B85" s="55"/>
      <c r="C85" s="55"/>
      <c r="D85" s="55"/>
      <c r="E85" s="55"/>
      <c r="F85" s="70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</row>
    <row r="86" spans="1:29">
      <c r="A86" s="55"/>
      <c r="B86" s="55"/>
      <c r="C86" s="55"/>
      <c r="D86" s="55"/>
      <c r="E86" s="55"/>
      <c r="F86" s="70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</row>
    <row r="87" spans="1:29">
      <c r="A87" s="55"/>
      <c r="B87" s="55"/>
      <c r="C87" s="55"/>
      <c r="D87" s="55"/>
      <c r="E87" s="55"/>
      <c r="F87" s="70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</row>
    <row r="88" spans="1:29">
      <c r="A88" s="55"/>
      <c r="B88" s="55"/>
      <c r="C88" s="55"/>
      <c r="D88" s="55"/>
      <c r="E88" s="55"/>
      <c r="F88" s="70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</row>
    <row r="89" spans="1:29">
      <c r="A89" s="55"/>
      <c r="B89" s="55"/>
      <c r="C89" s="55"/>
      <c r="D89" s="55"/>
      <c r="E89" s="55"/>
      <c r="F89" s="70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</row>
    <row r="90" spans="1:29">
      <c r="A90" s="55"/>
      <c r="B90" s="55"/>
      <c r="C90" s="55"/>
      <c r="D90" s="55"/>
      <c r="E90" s="55"/>
      <c r="F90" s="70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</row>
    <row r="91" spans="1:29">
      <c r="A91" s="55"/>
      <c r="B91" s="55"/>
      <c r="C91" s="55"/>
      <c r="D91" s="55"/>
      <c r="E91" s="55"/>
      <c r="F91" s="70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</row>
    <row r="92" spans="1:29">
      <c r="A92" s="55"/>
      <c r="B92" s="55"/>
      <c r="C92" s="55"/>
      <c r="D92" s="55"/>
      <c r="E92" s="55"/>
      <c r="F92" s="70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</row>
    <row r="93" spans="1:29">
      <c r="A93" s="55"/>
      <c r="B93" s="55"/>
      <c r="C93" s="55"/>
      <c r="D93" s="55"/>
      <c r="E93" s="55"/>
      <c r="F93" s="70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</row>
    <row r="94" spans="1:29">
      <c r="A94" s="55"/>
      <c r="B94" s="55"/>
      <c r="C94" s="55"/>
      <c r="D94" s="55"/>
      <c r="E94" s="55"/>
      <c r="F94" s="70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</row>
    <row r="95" spans="1:29">
      <c r="A95" s="55"/>
      <c r="B95" s="55"/>
      <c r="C95" s="55"/>
      <c r="D95" s="55"/>
      <c r="E95" s="55"/>
      <c r="F95" s="70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</row>
    <row r="96" spans="1:29">
      <c r="A96" s="55"/>
      <c r="B96" s="55"/>
      <c r="C96" s="55"/>
      <c r="D96" s="55"/>
      <c r="E96" s="55"/>
      <c r="F96" s="70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</row>
    <row r="97" spans="1:29">
      <c r="A97" s="55"/>
      <c r="B97" s="55"/>
      <c r="C97" s="55"/>
      <c r="D97" s="55"/>
      <c r="E97" s="55"/>
      <c r="F97" s="70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</row>
    <row r="98" spans="1:29">
      <c r="A98" s="55"/>
      <c r="B98" s="55"/>
      <c r="C98" s="55"/>
      <c r="D98" s="55"/>
      <c r="E98" s="55"/>
      <c r="F98" s="70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</row>
    <row r="99" spans="1:29">
      <c r="A99" s="55"/>
      <c r="B99" s="55"/>
      <c r="C99" s="55"/>
      <c r="D99" s="55"/>
      <c r="E99" s="55"/>
      <c r="F99" s="70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</row>
    <row r="100" spans="1:29">
      <c r="A100" s="55"/>
      <c r="B100" s="55"/>
      <c r="C100" s="55"/>
      <c r="D100" s="55"/>
      <c r="E100" s="55"/>
      <c r="F100" s="70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</row>
    <row r="101" spans="1:29">
      <c r="A101" s="55"/>
      <c r="B101" s="55"/>
      <c r="C101" s="55"/>
      <c r="D101" s="55"/>
      <c r="E101" s="55"/>
      <c r="F101" s="70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</row>
    <row r="102" spans="1:29">
      <c r="A102" s="55"/>
      <c r="B102" s="55"/>
      <c r="C102" s="55"/>
      <c r="D102" s="55"/>
      <c r="E102" s="55"/>
      <c r="F102" s="70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</row>
    <row r="103" spans="1:29">
      <c r="A103" s="55"/>
      <c r="B103" s="55"/>
      <c r="C103" s="55"/>
      <c r="D103" s="55"/>
      <c r="E103" s="55"/>
      <c r="F103" s="70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</row>
    <row r="104" spans="1:29">
      <c r="A104" s="55"/>
      <c r="B104" s="55"/>
      <c r="C104" s="55"/>
      <c r="D104" s="55"/>
      <c r="E104" s="55"/>
      <c r="F104" s="70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</row>
    <row r="105" spans="1:29">
      <c r="A105" s="55"/>
      <c r="B105" s="55"/>
      <c r="C105" s="55"/>
      <c r="D105" s="55"/>
      <c r="E105" s="55"/>
      <c r="F105" s="70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</row>
    <row r="106" spans="1:29">
      <c r="A106" s="55"/>
      <c r="B106" s="55"/>
      <c r="C106" s="55"/>
      <c r="D106" s="55"/>
      <c r="E106" s="55"/>
      <c r="F106" s="70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</row>
    <row r="107" spans="1:29">
      <c r="A107" s="55"/>
      <c r="B107" s="55"/>
      <c r="C107" s="55"/>
      <c r="D107" s="55"/>
      <c r="E107" s="55"/>
      <c r="F107" s="70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</row>
    <row r="108" spans="1:29">
      <c r="A108" s="55"/>
      <c r="B108" s="55"/>
      <c r="C108" s="55"/>
      <c r="D108" s="55"/>
      <c r="E108" s="55"/>
      <c r="F108" s="70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</row>
    <row r="109" spans="1:29">
      <c r="A109" s="55"/>
      <c r="B109" s="55"/>
      <c r="C109" s="55"/>
      <c r="D109" s="55"/>
      <c r="E109" s="55"/>
      <c r="F109" s="70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</row>
    <row r="110" spans="1:29">
      <c r="A110" s="55"/>
      <c r="B110" s="55"/>
      <c r="C110" s="55"/>
      <c r="D110" s="55"/>
      <c r="E110" s="55"/>
      <c r="F110" s="70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</row>
    <row r="111" spans="1:29">
      <c r="A111" s="55"/>
      <c r="B111" s="55"/>
      <c r="C111" s="55"/>
      <c r="D111" s="55"/>
      <c r="E111" s="55"/>
      <c r="F111" s="70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</row>
    <row r="112" spans="1:29">
      <c r="A112" s="55"/>
      <c r="B112" s="55"/>
      <c r="C112" s="55"/>
      <c r="D112" s="55"/>
      <c r="E112" s="55"/>
      <c r="F112" s="70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</row>
    <row r="113" spans="1:29">
      <c r="A113" s="55"/>
      <c r="B113" s="55"/>
      <c r="C113" s="55"/>
      <c r="D113" s="55"/>
      <c r="E113" s="55"/>
      <c r="F113" s="70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</row>
    <row r="114" spans="1:29">
      <c r="A114" s="55"/>
      <c r="B114" s="55"/>
      <c r="C114" s="55"/>
      <c r="D114" s="55"/>
      <c r="E114" s="55"/>
      <c r="F114" s="70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</row>
    <row r="115" spans="1:29">
      <c r="A115" s="55"/>
      <c r="B115" s="55"/>
      <c r="C115" s="55"/>
      <c r="D115" s="55"/>
      <c r="E115" s="55"/>
      <c r="F115" s="70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</row>
    <row r="116" spans="1:29">
      <c r="A116" s="55"/>
      <c r="B116" s="55"/>
      <c r="C116" s="55"/>
      <c r="D116" s="55"/>
      <c r="E116" s="55"/>
      <c r="F116" s="70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</row>
    <row r="117" spans="1:29">
      <c r="A117" s="55"/>
      <c r="B117" s="55"/>
      <c r="C117" s="55"/>
      <c r="D117" s="55"/>
      <c r="E117" s="55"/>
      <c r="F117" s="70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</row>
    <row r="118" spans="1:29">
      <c r="A118" s="55"/>
      <c r="B118" s="55"/>
      <c r="C118" s="55"/>
      <c r="D118" s="55"/>
      <c r="E118" s="55"/>
      <c r="F118" s="70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</row>
    <row r="119" spans="1:29">
      <c r="A119" s="55"/>
      <c r="B119" s="55"/>
      <c r="C119" s="55"/>
      <c r="D119" s="55"/>
      <c r="E119" s="55"/>
      <c r="F119" s="70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</row>
    <row r="120" spans="1:29">
      <c r="A120" s="55"/>
      <c r="B120" s="55"/>
      <c r="C120" s="55"/>
      <c r="D120" s="55"/>
      <c r="E120" s="55"/>
      <c r="F120" s="70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</row>
    <row r="121" spans="1:29">
      <c r="A121" s="55"/>
      <c r="B121" s="55"/>
      <c r="C121" s="55"/>
      <c r="D121" s="55"/>
      <c r="E121" s="55"/>
      <c r="F121" s="70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</row>
    <row r="122" spans="1:29">
      <c r="A122" s="55"/>
      <c r="B122" s="55"/>
      <c r="C122" s="55"/>
      <c r="D122" s="55"/>
      <c r="E122" s="55"/>
      <c r="F122" s="70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</row>
    <row r="123" spans="1:29">
      <c r="A123" s="55"/>
      <c r="B123" s="55"/>
      <c r="C123" s="55"/>
      <c r="D123" s="55"/>
      <c r="E123" s="55"/>
      <c r="F123" s="70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</row>
    <row r="124" spans="1:29">
      <c r="A124" s="55"/>
      <c r="B124" s="55"/>
      <c r="C124" s="55"/>
      <c r="D124" s="55"/>
      <c r="E124" s="55"/>
      <c r="F124" s="70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</row>
    <row r="125" spans="1:29">
      <c r="A125" s="55"/>
      <c r="B125" s="55"/>
      <c r="C125" s="55"/>
      <c r="D125" s="55"/>
      <c r="E125" s="55"/>
      <c r="F125" s="70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</row>
    <row r="126" spans="1:29">
      <c r="A126" s="55"/>
      <c r="B126" s="55"/>
      <c r="C126" s="55"/>
      <c r="D126" s="55"/>
      <c r="E126" s="55"/>
      <c r="F126" s="70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</row>
    <row r="127" spans="1:29">
      <c r="A127" s="55"/>
      <c r="B127" s="55"/>
      <c r="C127" s="55"/>
      <c r="D127" s="55"/>
      <c r="E127" s="55"/>
      <c r="F127" s="70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</row>
    <row r="128" spans="1:29">
      <c r="A128" s="55"/>
      <c r="B128" s="55"/>
      <c r="C128" s="55"/>
      <c r="D128" s="55"/>
      <c r="E128" s="55"/>
      <c r="F128" s="70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</row>
    <row r="129" spans="1:29">
      <c r="A129" s="55"/>
      <c r="B129" s="55"/>
      <c r="C129" s="55"/>
      <c r="D129" s="55"/>
      <c r="E129" s="55"/>
      <c r="F129" s="70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</row>
    <row r="130" spans="1:29">
      <c r="A130" s="55"/>
      <c r="B130" s="55"/>
      <c r="C130" s="55"/>
      <c r="D130" s="55"/>
      <c r="E130" s="55"/>
      <c r="F130" s="70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</row>
    <row r="131" spans="1:29">
      <c r="A131" s="55"/>
      <c r="B131" s="55"/>
      <c r="C131" s="55"/>
      <c r="D131" s="55"/>
      <c r="E131" s="55"/>
      <c r="F131" s="70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</row>
    <row r="132" spans="1:29">
      <c r="A132" s="55"/>
      <c r="B132" s="55"/>
      <c r="C132" s="55"/>
      <c r="D132" s="55"/>
      <c r="E132" s="55"/>
      <c r="F132" s="70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</row>
    <row r="133" spans="1:29">
      <c r="A133" s="55"/>
      <c r="B133" s="55"/>
      <c r="C133" s="55"/>
      <c r="D133" s="55"/>
      <c r="E133" s="55"/>
      <c r="F133" s="70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</row>
    <row r="134" spans="1:29">
      <c r="A134" s="55"/>
      <c r="B134" s="55"/>
      <c r="C134" s="55"/>
      <c r="D134" s="55"/>
      <c r="E134" s="55"/>
      <c r="F134" s="70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</row>
    <row r="135" spans="1:29">
      <c r="A135" s="55"/>
      <c r="B135" s="55"/>
      <c r="C135" s="55"/>
      <c r="D135" s="55"/>
      <c r="E135" s="55"/>
      <c r="F135" s="70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</row>
    <row r="136" spans="1:29">
      <c r="A136" s="55"/>
      <c r="B136" s="55"/>
      <c r="C136" s="55"/>
      <c r="D136" s="55"/>
      <c r="E136" s="55"/>
      <c r="F136" s="70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</row>
    <row r="137" spans="1:29">
      <c r="A137" s="55"/>
      <c r="B137" s="55"/>
      <c r="C137" s="55"/>
      <c r="D137" s="55"/>
      <c r="E137" s="55"/>
      <c r="F137" s="70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</row>
    <row r="138" spans="1:29">
      <c r="A138" s="55"/>
      <c r="B138" s="55"/>
      <c r="C138" s="55"/>
      <c r="D138" s="55"/>
      <c r="E138" s="55"/>
      <c r="F138" s="70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</row>
    <row r="139" spans="1:29">
      <c r="A139" s="55"/>
      <c r="B139" s="55"/>
      <c r="C139" s="55"/>
      <c r="D139" s="55"/>
      <c r="E139" s="55"/>
      <c r="F139" s="70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</row>
    <row r="140" spans="1:29">
      <c r="A140" s="55"/>
      <c r="B140" s="55"/>
      <c r="C140" s="55"/>
      <c r="D140" s="55"/>
      <c r="E140" s="55"/>
      <c r="F140" s="70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</row>
    <row r="141" spans="1:29">
      <c r="A141" s="55"/>
      <c r="B141" s="55"/>
      <c r="C141" s="55"/>
      <c r="D141" s="55"/>
      <c r="E141" s="55"/>
      <c r="F141" s="70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</row>
    <row r="142" spans="1:29">
      <c r="A142" s="55"/>
      <c r="B142" s="55"/>
      <c r="C142" s="55"/>
      <c r="D142" s="55"/>
      <c r="E142" s="55"/>
      <c r="F142" s="70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</row>
    <row r="143" spans="1:29">
      <c r="A143" s="55"/>
      <c r="B143" s="55"/>
      <c r="C143" s="55"/>
      <c r="D143" s="55"/>
      <c r="E143" s="55"/>
      <c r="F143" s="70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</row>
    <row r="144" spans="1:29">
      <c r="A144" s="55"/>
      <c r="B144" s="55"/>
      <c r="C144" s="55"/>
      <c r="D144" s="55"/>
      <c r="E144" s="55"/>
      <c r="F144" s="70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</row>
    <row r="145" spans="1:29">
      <c r="A145" s="55"/>
      <c r="B145" s="55"/>
      <c r="C145" s="55"/>
      <c r="D145" s="55"/>
      <c r="E145" s="55"/>
      <c r="F145" s="70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</row>
    <row r="146" spans="1:29">
      <c r="A146" s="55"/>
      <c r="B146" s="55"/>
      <c r="C146" s="55"/>
      <c r="D146" s="55"/>
      <c r="E146" s="55"/>
      <c r="F146" s="70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</row>
    <row r="147" spans="1:29">
      <c r="A147" s="55"/>
      <c r="B147" s="55"/>
      <c r="C147" s="55"/>
      <c r="D147" s="55"/>
      <c r="E147" s="55"/>
      <c r="F147" s="70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</row>
    <row r="148" spans="1:29">
      <c r="A148" s="55"/>
      <c r="B148" s="55"/>
      <c r="C148" s="55"/>
      <c r="D148" s="55"/>
      <c r="E148" s="55"/>
      <c r="F148" s="70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</row>
    <row r="149" spans="1:29">
      <c r="A149" s="55"/>
      <c r="B149" s="55"/>
      <c r="C149" s="55"/>
      <c r="D149" s="55"/>
      <c r="E149" s="55"/>
      <c r="F149" s="70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</row>
    <row r="150" spans="1:29">
      <c r="A150" s="55"/>
      <c r="B150" s="55"/>
      <c r="C150" s="55"/>
      <c r="D150" s="55"/>
      <c r="E150" s="55"/>
      <c r="F150" s="70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</row>
    <row r="151" spans="1:29">
      <c r="A151" s="55"/>
      <c r="B151" s="55"/>
      <c r="C151" s="55"/>
      <c r="D151" s="55"/>
      <c r="E151" s="55"/>
      <c r="F151" s="70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</row>
    <row r="152" spans="1:29">
      <c r="A152" s="55"/>
      <c r="B152" s="55"/>
      <c r="C152" s="55"/>
      <c r="D152" s="55"/>
      <c r="E152" s="55"/>
      <c r="F152" s="70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</row>
    <row r="153" spans="1:29">
      <c r="A153" s="55"/>
      <c r="B153" s="55"/>
      <c r="C153" s="55"/>
      <c r="D153" s="55"/>
      <c r="E153" s="55"/>
      <c r="F153" s="70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</row>
    <row r="154" spans="1:29">
      <c r="A154" s="55"/>
      <c r="B154" s="55"/>
      <c r="C154" s="55"/>
      <c r="D154" s="55"/>
      <c r="E154" s="55"/>
      <c r="F154" s="70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</row>
    <row r="155" spans="1:29">
      <c r="A155" s="55"/>
      <c r="B155" s="55"/>
      <c r="C155" s="55"/>
      <c r="D155" s="55"/>
      <c r="E155" s="55"/>
      <c r="F155" s="70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</row>
    <row r="156" spans="1:29">
      <c r="A156" s="55"/>
      <c r="B156" s="55"/>
      <c r="C156" s="55"/>
      <c r="D156" s="55"/>
      <c r="E156" s="55"/>
      <c r="F156" s="70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</row>
    <row r="157" spans="1:29">
      <c r="A157" s="55"/>
      <c r="B157" s="55"/>
      <c r="C157" s="55"/>
      <c r="D157" s="55"/>
      <c r="E157" s="55"/>
      <c r="F157" s="70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</row>
    <row r="158" spans="1:29">
      <c r="A158" s="55"/>
      <c r="B158" s="55"/>
      <c r="C158" s="55"/>
      <c r="D158" s="55"/>
      <c r="E158" s="55"/>
      <c r="F158" s="70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</row>
    <row r="159" spans="1:29">
      <c r="A159" s="55"/>
      <c r="B159" s="55"/>
      <c r="C159" s="55"/>
      <c r="D159" s="55"/>
      <c r="E159" s="55"/>
      <c r="F159" s="70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</row>
    <row r="160" spans="1:29">
      <c r="A160" s="55"/>
      <c r="B160" s="55"/>
      <c r="C160" s="55"/>
      <c r="D160" s="55"/>
      <c r="E160" s="55"/>
      <c r="F160" s="70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</row>
    <row r="161" spans="1:29">
      <c r="A161" s="55"/>
      <c r="B161" s="55"/>
      <c r="C161" s="55"/>
      <c r="D161" s="55"/>
      <c r="E161" s="55"/>
      <c r="F161" s="70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</row>
    <row r="162" spans="1:29">
      <c r="A162" s="55"/>
      <c r="B162" s="55"/>
      <c r="C162" s="55"/>
      <c r="D162" s="55"/>
      <c r="E162" s="55"/>
      <c r="F162" s="70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</row>
    <row r="163" spans="1:29">
      <c r="A163" s="55"/>
      <c r="B163" s="55"/>
      <c r="C163" s="55"/>
      <c r="D163" s="55"/>
      <c r="E163" s="55"/>
      <c r="F163" s="70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</row>
    <row r="164" spans="1:29">
      <c r="A164" s="55"/>
      <c r="B164" s="55"/>
      <c r="C164" s="55"/>
      <c r="D164" s="55"/>
      <c r="E164" s="55"/>
      <c r="F164" s="70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</row>
    <row r="165" spans="1:29">
      <c r="A165" s="55"/>
      <c r="B165" s="55"/>
      <c r="C165" s="55"/>
      <c r="D165" s="55"/>
      <c r="E165" s="55"/>
      <c r="F165" s="70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</row>
    <row r="166" spans="1:29">
      <c r="A166" s="55"/>
      <c r="B166" s="55"/>
      <c r="C166" s="55"/>
      <c r="D166" s="55"/>
      <c r="E166" s="55"/>
      <c r="F166" s="70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</row>
    <row r="167" spans="1:29">
      <c r="A167" s="55"/>
      <c r="B167" s="55"/>
      <c r="C167" s="55"/>
      <c r="D167" s="55"/>
      <c r="E167" s="55"/>
      <c r="F167" s="70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</row>
    <row r="168" spans="1:29">
      <c r="A168" s="55"/>
      <c r="B168" s="55"/>
      <c r="C168" s="55"/>
      <c r="D168" s="55"/>
      <c r="E168" s="55"/>
      <c r="F168" s="70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</row>
    <row r="169" spans="1:29">
      <c r="A169" s="55"/>
      <c r="B169" s="55"/>
      <c r="C169" s="55"/>
      <c r="D169" s="55"/>
      <c r="E169" s="55"/>
      <c r="F169" s="70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</row>
    <row r="170" spans="1:29">
      <c r="A170" s="55"/>
      <c r="B170" s="55"/>
      <c r="C170" s="55"/>
      <c r="D170" s="55"/>
      <c r="E170" s="55"/>
      <c r="F170" s="70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</row>
    <row r="171" spans="1:29">
      <c r="A171" s="55"/>
      <c r="B171" s="55"/>
      <c r="C171" s="55"/>
      <c r="D171" s="55"/>
      <c r="E171" s="55"/>
      <c r="F171" s="70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</row>
    <row r="172" spans="1:29">
      <c r="A172" s="55"/>
      <c r="B172" s="55"/>
      <c r="C172" s="55"/>
      <c r="D172" s="55"/>
      <c r="E172" s="55"/>
      <c r="F172" s="70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</row>
    <row r="173" spans="1:29">
      <c r="A173" s="55"/>
      <c r="B173" s="55"/>
      <c r="C173" s="55"/>
      <c r="D173" s="55"/>
      <c r="E173" s="55"/>
      <c r="F173" s="70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</row>
    <row r="174" spans="1:29">
      <c r="A174" s="55"/>
      <c r="B174" s="55"/>
      <c r="C174" s="55"/>
      <c r="D174" s="55"/>
      <c r="E174" s="55"/>
      <c r="F174" s="70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</row>
    <row r="175" spans="1:29">
      <c r="A175" s="55"/>
      <c r="B175" s="55"/>
      <c r="C175" s="55"/>
      <c r="D175" s="55"/>
      <c r="E175" s="55"/>
      <c r="F175" s="70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</row>
    <row r="176" spans="1:29">
      <c r="A176" s="55"/>
      <c r="B176" s="55"/>
      <c r="C176" s="55"/>
      <c r="D176" s="55"/>
      <c r="E176" s="55"/>
      <c r="F176" s="70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</row>
    <row r="177" spans="1:29">
      <c r="A177" s="55"/>
      <c r="B177" s="55"/>
      <c r="C177" s="55"/>
      <c r="D177" s="55"/>
      <c r="E177" s="55"/>
      <c r="F177" s="70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</row>
    <row r="178" spans="1:29">
      <c r="A178" s="55"/>
      <c r="B178" s="55"/>
      <c r="C178" s="55"/>
      <c r="D178" s="55"/>
      <c r="E178" s="55"/>
      <c r="F178" s="70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</row>
    <row r="179" spans="1:29">
      <c r="A179" s="55"/>
      <c r="B179" s="55"/>
      <c r="C179" s="55"/>
      <c r="D179" s="55"/>
      <c r="E179" s="55"/>
      <c r="F179" s="70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</row>
    <row r="180" spans="1:29">
      <c r="A180" s="55"/>
      <c r="B180" s="55"/>
      <c r="C180" s="55"/>
      <c r="D180" s="55"/>
      <c r="E180" s="55"/>
      <c r="F180" s="70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</row>
    <row r="181" spans="1:29">
      <c r="A181" s="55"/>
      <c r="B181" s="55"/>
      <c r="C181" s="55"/>
      <c r="D181" s="55"/>
      <c r="E181" s="55"/>
      <c r="F181" s="70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</row>
    <row r="182" spans="1:29">
      <c r="A182" s="55"/>
      <c r="B182" s="55"/>
      <c r="C182" s="55"/>
      <c r="D182" s="55"/>
      <c r="E182" s="55"/>
      <c r="F182" s="70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</row>
    <row r="183" spans="1:29">
      <c r="A183" s="55"/>
      <c r="B183" s="55"/>
      <c r="C183" s="55"/>
      <c r="D183" s="55"/>
      <c r="E183" s="55"/>
      <c r="F183" s="70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</row>
    <row r="184" spans="1:29">
      <c r="A184" s="55"/>
      <c r="B184" s="55"/>
      <c r="C184" s="55"/>
      <c r="D184" s="55"/>
      <c r="E184" s="55"/>
      <c r="F184" s="70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</row>
    <row r="185" spans="1:29">
      <c r="A185" s="55"/>
      <c r="B185" s="55"/>
      <c r="C185" s="55"/>
      <c r="D185" s="55"/>
      <c r="E185" s="55"/>
      <c r="F185" s="70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</row>
    <row r="186" spans="1:29">
      <c r="A186" s="55"/>
      <c r="B186" s="55"/>
      <c r="C186" s="55"/>
      <c r="D186" s="55"/>
      <c r="E186" s="55"/>
      <c r="F186" s="70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</row>
    <row r="187" spans="1:29">
      <c r="A187" s="55"/>
      <c r="B187" s="55"/>
      <c r="C187" s="55"/>
      <c r="D187" s="55"/>
      <c r="E187" s="55"/>
      <c r="F187" s="70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</row>
    <row r="188" spans="1:29">
      <c r="A188" s="55"/>
      <c r="B188" s="55"/>
      <c r="C188" s="55"/>
      <c r="D188" s="55"/>
      <c r="E188" s="55"/>
      <c r="F188" s="70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</row>
    <row r="189" spans="1:29">
      <c r="A189" s="55"/>
      <c r="B189" s="55"/>
      <c r="C189" s="55"/>
      <c r="D189" s="55"/>
      <c r="E189" s="55"/>
      <c r="F189" s="70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</row>
    <row r="190" spans="1:29">
      <c r="A190" s="55"/>
      <c r="B190" s="55"/>
      <c r="C190" s="55"/>
      <c r="D190" s="55"/>
      <c r="E190" s="55"/>
      <c r="F190" s="70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</row>
    <row r="191" spans="1:29">
      <c r="A191" s="55"/>
      <c r="B191" s="55"/>
      <c r="C191" s="55"/>
      <c r="D191" s="55"/>
      <c r="E191" s="55"/>
      <c r="F191" s="70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</row>
    <row r="192" spans="1:29">
      <c r="A192" s="55"/>
      <c r="B192" s="55"/>
      <c r="C192" s="55"/>
      <c r="D192" s="55"/>
      <c r="E192" s="55"/>
      <c r="F192" s="70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</row>
    <row r="193" spans="1:29">
      <c r="A193" s="55"/>
      <c r="B193" s="55"/>
      <c r="C193" s="55"/>
      <c r="D193" s="55"/>
      <c r="E193" s="55"/>
      <c r="F193" s="70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</row>
    <row r="194" spans="1:29">
      <c r="A194" s="55"/>
      <c r="B194" s="55"/>
      <c r="C194" s="55"/>
      <c r="D194" s="55"/>
      <c r="E194" s="55"/>
      <c r="F194" s="70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</row>
    <row r="195" spans="1:29">
      <c r="A195" s="55"/>
      <c r="B195" s="55"/>
      <c r="C195" s="55"/>
      <c r="D195" s="55"/>
      <c r="E195" s="55"/>
      <c r="F195" s="70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</row>
    <row r="196" spans="1:29">
      <c r="A196" s="55"/>
      <c r="B196" s="55"/>
      <c r="C196" s="55"/>
      <c r="D196" s="55"/>
      <c r="E196" s="55"/>
      <c r="F196" s="70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</row>
    <row r="197" spans="1:29">
      <c r="A197" s="55"/>
      <c r="B197" s="55"/>
      <c r="C197" s="55"/>
      <c r="D197" s="55"/>
      <c r="E197" s="55"/>
      <c r="F197" s="70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</row>
    <row r="198" spans="1:29">
      <c r="A198" s="55"/>
      <c r="B198" s="55"/>
      <c r="C198" s="55"/>
      <c r="D198" s="55"/>
      <c r="E198" s="55"/>
      <c r="F198" s="70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</row>
    <row r="199" spans="1:29">
      <c r="A199" s="55"/>
      <c r="B199" s="55"/>
      <c r="C199" s="55"/>
      <c r="D199" s="55"/>
      <c r="E199" s="55"/>
      <c r="F199" s="70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</row>
    <row r="200" spans="1:29">
      <c r="A200" s="55"/>
      <c r="B200" s="55"/>
      <c r="C200" s="55"/>
      <c r="D200" s="55"/>
      <c r="E200" s="55"/>
      <c r="F200" s="70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</row>
    <row r="201" spans="1:29">
      <c r="A201" s="55"/>
      <c r="B201" s="55"/>
      <c r="C201" s="55"/>
      <c r="D201" s="55"/>
      <c r="E201" s="55"/>
      <c r="F201" s="70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</row>
    <row r="202" spans="1:29">
      <c r="A202" s="55"/>
      <c r="B202" s="55"/>
      <c r="C202" s="55"/>
      <c r="D202" s="55"/>
      <c r="E202" s="55"/>
      <c r="F202" s="70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</row>
    <row r="203" spans="1:29">
      <c r="A203" s="55"/>
      <c r="B203" s="55"/>
      <c r="C203" s="55"/>
      <c r="D203" s="55"/>
      <c r="E203" s="55"/>
      <c r="F203" s="70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</row>
    <row r="204" spans="1:29">
      <c r="A204" s="55"/>
      <c r="B204" s="55"/>
      <c r="C204" s="55"/>
      <c r="D204" s="55"/>
      <c r="E204" s="55"/>
      <c r="F204" s="70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</row>
    <row r="205" spans="1:29">
      <c r="A205" s="55"/>
      <c r="B205" s="55"/>
      <c r="C205" s="55"/>
      <c r="D205" s="55"/>
      <c r="E205" s="55"/>
      <c r="F205" s="70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</row>
    <row r="206" spans="1:29">
      <c r="A206" s="55"/>
      <c r="B206" s="55"/>
      <c r="C206" s="55"/>
      <c r="D206" s="55"/>
      <c r="E206" s="55"/>
      <c r="F206" s="70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</row>
    <row r="207" spans="1:29">
      <c r="A207" s="55"/>
      <c r="B207" s="55"/>
      <c r="C207" s="55"/>
      <c r="D207" s="55"/>
      <c r="E207" s="55"/>
      <c r="F207" s="70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</row>
    <row r="208" spans="1:29">
      <c r="A208" s="55"/>
      <c r="B208" s="55"/>
      <c r="C208" s="55"/>
      <c r="D208" s="55"/>
      <c r="E208" s="55"/>
      <c r="F208" s="70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</row>
    <row r="209" spans="1:29">
      <c r="A209" s="55"/>
      <c r="B209" s="55"/>
      <c r="C209" s="55"/>
      <c r="D209" s="55"/>
      <c r="E209" s="55"/>
      <c r="F209" s="70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</row>
    <row r="210" spans="1:29">
      <c r="A210" s="55"/>
      <c r="B210" s="55"/>
      <c r="C210" s="55"/>
      <c r="D210" s="55"/>
      <c r="E210" s="55"/>
      <c r="F210" s="70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</row>
    <row r="211" spans="1:29">
      <c r="A211" s="55"/>
      <c r="B211" s="55"/>
      <c r="C211" s="55"/>
      <c r="D211" s="55"/>
      <c r="E211" s="55"/>
      <c r="F211" s="70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</row>
    <row r="212" spans="1:29">
      <c r="A212" s="55"/>
      <c r="B212" s="55"/>
      <c r="C212" s="55"/>
      <c r="D212" s="55"/>
      <c r="E212" s="55"/>
      <c r="F212" s="70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</row>
    <row r="213" spans="1:29">
      <c r="A213" s="55"/>
      <c r="B213" s="55"/>
      <c r="C213" s="55"/>
      <c r="D213" s="55"/>
      <c r="E213" s="55"/>
      <c r="F213" s="70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</row>
    <row r="214" spans="1:29">
      <c r="A214" s="55"/>
      <c r="B214" s="55"/>
      <c r="C214" s="55"/>
      <c r="D214" s="55"/>
      <c r="E214" s="55"/>
      <c r="F214" s="70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</row>
    <row r="215" spans="1:29">
      <c r="A215" s="55"/>
      <c r="B215" s="55"/>
      <c r="C215" s="55"/>
      <c r="D215" s="55"/>
      <c r="E215" s="55"/>
      <c r="F215" s="70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</row>
    <row r="216" spans="1:29">
      <c r="A216" s="55"/>
      <c r="B216" s="55"/>
      <c r="C216" s="55"/>
      <c r="D216" s="55"/>
      <c r="E216" s="55"/>
      <c r="F216" s="70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</row>
    <row r="217" spans="1:29">
      <c r="A217" s="55"/>
      <c r="B217" s="55"/>
      <c r="C217" s="55"/>
      <c r="D217" s="55"/>
      <c r="E217" s="55"/>
      <c r="F217" s="70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</row>
    <row r="218" spans="1:29">
      <c r="A218" s="55"/>
      <c r="B218" s="55"/>
      <c r="C218" s="55"/>
      <c r="D218" s="55"/>
      <c r="E218" s="55"/>
      <c r="F218" s="70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</row>
    <row r="219" spans="1:29">
      <c r="A219" s="55"/>
      <c r="B219" s="55"/>
      <c r="C219" s="55"/>
      <c r="D219" s="55"/>
      <c r="E219" s="55"/>
      <c r="F219" s="70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</row>
    <row r="220" spans="1:29">
      <c r="A220" s="55"/>
      <c r="B220" s="55"/>
      <c r="C220" s="55"/>
      <c r="D220" s="55"/>
      <c r="E220" s="55"/>
      <c r="F220" s="70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</row>
    <row r="221" spans="1:29">
      <c r="A221" s="55"/>
      <c r="B221" s="55"/>
      <c r="C221" s="55"/>
      <c r="D221" s="55"/>
      <c r="E221" s="55"/>
      <c r="F221" s="70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</row>
    <row r="222" spans="1:29">
      <c r="A222" s="55"/>
      <c r="B222" s="55"/>
      <c r="C222" s="55"/>
      <c r="D222" s="55"/>
      <c r="E222" s="55"/>
      <c r="F222" s="70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</row>
    <row r="223" spans="1:29">
      <c r="A223" s="55"/>
      <c r="B223" s="55"/>
      <c r="C223" s="55"/>
      <c r="D223" s="55"/>
      <c r="E223" s="55"/>
      <c r="F223" s="70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</row>
    <row r="224" spans="1:29">
      <c r="A224" s="55"/>
      <c r="B224" s="55"/>
      <c r="C224" s="55"/>
      <c r="D224" s="55"/>
      <c r="E224" s="55"/>
      <c r="F224" s="70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</row>
    <row r="225" spans="1:29">
      <c r="A225" s="55"/>
      <c r="B225" s="55"/>
      <c r="C225" s="55"/>
      <c r="D225" s="55"/>
      <c r="E225" s="55"/>
      <c r="F225" s="70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</row>
    <row r="226" spans="1:29">
      <c r="A226" s="55"/>
      <c r="B226" s="55"/>
      <c r="C226" s="55"/>
      <c r="D226" s="55"/>
      <c r="E226" s="55"/>
      <c r="F226" s="70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</row>
    <row r="227" spans="1:29">
      <c r="A227" s="55"/>
      <c r="B227" s="55"/>
      <c r="C227" s="55"/>
      <c r="D227" s="55"/>
      <c r="E227" s="55"/>
      <c r="F227" s="70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</row>
    <row r="228" spans="1:29">
      <c r="A228" s="55"/>
      <c r="B228" s="55"/>
      <c r="C228" s="55"/>
      <c r="D228" s="55"/>
      <c r="E228" s="55"/>
      <c r="F228" s="70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</row>
    <row r="229" spans="1:29">
      <c r="A229" s="55"/>
      <c r="B229" s="55"/>
      <c r="C229" s="55"/>
      <c r="D229" s="55"/>
      <c r="E229" s="55"/>
      <c r="F229" s="70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</row>
    <row r="230" spans="1:29">
      <c r="A230" s="55"/>
      <c r="B230" s="55"/>
      <c r="C230" s="55"/>
      <c r="D230" s="55"/>
      <c r="E230" s="55"/>
      <c r="F230" s="70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</row>
    <row r="231" spans="1:29">
      <c r="A231" s="55"/>
      <c r="B231" s="55"/>
      <c r="C231" s="55"/>
      <c r="D231" s="55"/>
      <c r="E231" s="55"/>
      <c r="F231" s="70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</row>
    <row r="232" spans="1:29">
      <c r="A232" s="55"/>
      <c r="B232" s="55"/>
      <c r="C232" s="55"/>
      <c r="D232" s="55"/>
      <c r="E232" s="55"/>
      <c r="F232" s="70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</row>
    <row r="233" spans="1:29">
      <c r="A233" s="55"/>
      <c r="B233" s="55"/>
      <c r="C233" s="55"/>
      <c r="D233" s="55"/>
      <c r="E233" s="55"/>
      <c r="F233" s="70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</row>
    <row r="234" spans="1:29">
      <c r="A234" s="55"/>
      <c r="B234" s="55"/>
      <c r="C234" s="55"/>
      <c r="D234" s="55"/>
      <c r="E234" s="55"/>
      <c r="F234" s="70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</row>
    <row r="235" spans="1:29">
      <c r="A235" s="55"/>
      <c r="B235" s="55"/>
      <c r="C235" s="55"/>
      <c r="D235" s="55"/>
      <c r="E235" s="55"/>
      <c r="F235" s="70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</row>
    <row r="236" spans="1:29">
      <c r="A236" s="55"/>
      <c r="B236" s="55"/>
      <c r="C236" s="55"/>
      <c r="D236" s="55"/>
      <c r="E236" s="55"/>
      <c r="F236" s="70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</row>
    <row r="237" spans="1:29">
      <c r="A237" s="55"/>
      <c r="B237" s="55"/>
      <c r="C237" s="55"/>
      <c r="D237" s="55"/>
      <c r="E237" s="55"/>
      <c r="F237" s="70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</row>
    <row r="238" spans="1:29">
      <c r="A238" s="55"/>
      <c r="B238" s="55"/>
      <c r="C238" s="55"/>
      <c r="D238" s="55"/>
      <c r="E238" s="55"/>
      <c r="F238" s="70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</row>
    <row r="239" spans="1:29">
      <c r="A239" s="55"/>
      <c r="B239" s="55"/>
      <c r="C239" s="55"/>
      <c r="D239" s="55"/>
      <c r="E239" s="55"/>
      <c r="F239" s="70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</row>
    <row r="240" spans="1:29">
      <c r="A240" s="55"/>
      <c r="B240" s="55"/>
      <c r="C240" s="55"/>
      <c r="D240" s="55"/>
      <c r="E240" s="55"/>
      <c r="F240" s="70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</row>
    <row r="241" spans="1:29">
      <c r="A241" s="55"/>
      <c r="B241" s="55"/>
      <c r="C241" s="55"/>
      <c r="D241" s="55"/>
      <c r="E241" s="55"/>
      <c r="F241" s="70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</row>
    <row r="242" spans="1:29">
      <c r="A242" s="55"/>
      <c r="B242" s="55"/>
      <c r="C242" s="55"/>
      <c r="D242" s="55"/>
      <c r="E242" s="55"/>
      <c r="F242" s="70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</row>
    <row r="243" spans="1:29">
      <c r="A243" s="55"/>
      <c r="B243" s="55"/>
      <c r="C243" s="55"/>
      <c r="D243" s="55"/>
      <c r="E243" s="55"/>
      <c r="F243" s="70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</row>
    <row r="244" spans="1:29">
      <c r="A244" s="55"/>
      <c r="B244" s="55"/>
      <c r="C244" s="55"/>
      <c r="D244" s="55"/>
      <c r="E244" s="55"/>
      <c r="F244" s="70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</row>
    <row r="245" spans="1:29">
      <c r="A245" s="55"/>
      <c r="B245" s="55"/>
      <c r="C245" s="55"/>
      <c r="D245" s="55"/>
      <c r="E245" s="55"/>
      <c r="F245" s="70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</row>
    <row r="246" spans="1:29">
      <c r="A246" s="55"/>
      <c r="B246" s="55"/>
      <c r="C246" s="55"/>
      <c r="D246" s="55"/>
      <c r="E246" s="55"/>
      <c r="F246" s="70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</row>
    <row r="247" spans="1:29">
      <c r="A247" s="55"/>
      <c r="B247" s="55"/>
      <c r="C247" s="55"/>
      <c r="D247" s="55"/>
      <c r="E247" s="55"/>
      <c r="F247" s="70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</row>
    <row r="248" spans="1:29">
      <c r="A248" s="55"/>
      <c r="B248" s="55"/>
      <c r="C248" s="55"/>
      <c r="D248" s="55"/>
      <c r="E248" s="55"/>
      <c r="F248" s="70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</row>
    <row r="249" spans="1:29">
      <c r="A249" s="55"/>
      <c r="B249" s="55"/>
      <c r="C249" s="55"/>
      <c r="D249" s="55"/>
      <c r="E249" s="55"/>
      <c r="F249" s="70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</row>
    <row r="250" spans="1:29">
      <c r="A250" s="55"/>
      <c r="B250" s="55"/>
      <c r="C250" s="55"/>
      <c r="D250" s="55"/>
      <c r="E250" s="55"/>
      <c r="F250" s="70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</row>
    <row r="251" spans="1:29">
      <c r="A251" s="55"/>
      <c r="B251" s="55"/>
      <c r="C251" s="55"/>
      <c r="D251" s="55"/>
      <c r="E251" s="55"/>
      <c r="F251" s="70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</row>
    <row r="252" spans="1:29">
      <c r="A252" s="55"/>
      <c r="B252" s="55"/>
      <c r="C252" s="55"/>
      <c r="D252" s="55"/>
      <c r="E252" s="55"/>
      <c r="F252" s="70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</row>
    <row r="253" spans="1:29">
      <c r="A253" s="55"/>
      <c r="B253" s="55"/>
      <c r="C253" s="55"/>
      <c r="D253" s="55"/>
      <c r="E253" s="55"/>
      <c r="F253" s="70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</row>
    <row r="254" spans="1:29">
      <c r="A254" s="55"/>
      <c r="B254" s="55"/>
      <c r="C254" s="55"/>
      <c r="D254" s="55"/>
      <c r="E254" s="55"/>
      <c r="F254" s="70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</row>
    <row r="255" spans="1:29">
      <c r="A255" s="55"/>
      <c r="B255" s="55"/>
      <c r="C255" s="55"/>
      <c r="D255" s="55"/>
      <c r="E255" s="55"/>
      <c r="F255" s="70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</row>
    <row r="256" spans="1:29">
      <c r="A256" s="55"/>
      <c r="B256" s="55"/>
      <c r="C256" s="55"/>
      <c r="D256" s="55"/>
      <c r="E256" s="55"/>
      <c r="F256" s="70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</row>
    <row r="257" spans="1:29">
      <c r="A257" s="55"/>
      <c r="B257" s="55"/>
      <c r="C257" s="55"/>
      <c r="D257" s="55"/>
      <c r="E257" s="55"/>
      <c r="F257" s="70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</row>
    <row r="258" spans="1:29">
      <c r="A258" s="55"/>
      <c r="B258" s="55"/>
      <c r="C258" s="55"/>
      <c r="D258" s="55"/>
      <c r="E258" s="55"/>
      <c r="F258" s="70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</row>
    <row r="259" spans="1:29">
      <c r="A259" s="55"/>
      <c r="B259" s="55"/>
      <c r="C259" s="55"/>
      <c r="D259" s="55"/>
      <c r="E259" s="55"/>
      <c r="F259" s="70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</row>
    <row r="260" spans="1:29">
      <c r="A260" s="55"/>
      <c r="B260" s="55"/>
      <c r="C260" s="55"/>
      <c r="D260" s="55"/>
      <c r="E260" s="55"/>
      <c r="F260" s="70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</row>
    <row r="261" spans="1:29">
      <c r="A261" s="55"/>
      <c r="B261" s="55"/>
      <c r="C261" s="55"/>
      <c r="D261" s="55"/>
      <c r="E261" s="55"/>
      <c r="F261" s="70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</row>
    <row r="262" spans="1:29">
      <c r="A262" s="55"/>
      <c r="B262" s="55"/>
      <c r="C262" s="55"/>
      <c r="D262" s="55"/>
      <c r="E262" s="55"/>
      <c r="F262" s="70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</row>
    <row r="263" spans="1:29">
      <c r="A263" s="55"/>
      <c r="B263" s="55"/>
      <c r="C263" s="55"/>
      <c r="D263" s="55"/>
      <c r="E263" s="55"/>
      <c r="F263" s="70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</row>
    <row r="264" spans="1:29">
      <c r="A264" s="55"/>
      <c r="B264" s="55"/>
      <c r="C264" s="55"/>
      <c r="D264" s="55"/>
      <c r="E264" s="55"/>
      <c r="F264" s="70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</row>
    <row r="265" spans="1:29">
      <c r="A265" s="55"/>
      <c r="B265" s="55"/>
      <c r="C265" s="55"/>
      <c r="D265" s="55"/>
      <c r="E265" s="55"/>
      <c r="F265" s="70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</row>
    <row r="266" spans="1:29">
      <c r="A266" s="55"/>
      <c r="B266" s="55"/>
      <c r="C266" s="55"/>
      <c r="D266" s="55"/>
      <c r="E266" s="55"/>
      <c r="F266" s="70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</row>
    <row r="267" spans="1:29">
      <c r="A267" s="55"/>
      <c r="B267" s="55"/>
      <c r="C267" s="55"/>
      <c r="D267" s="55"/>
      <c r="E267" s="55"/>
      <c r="F267" s="70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</row>
    <row r="268" spans="1:29">
      <c r="A268" s="55"/>
      <c r="B268" s="55"/>
      <c r="C268" s="55"/>
      <c r="D268" s="55"/>
      <c r="E268" s="55"/>
      <c r="F268" s="70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</row>
    <row r="269" spans="1:29">
      <c r="A269" s="55"/>
      <c r="B269" s="55"/>
      <c r="C269" s="55"/>
      <c r="D269" s="55"/>
      <c r="E269" s="55"/>
      <c r="F269" s="70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</row>
    <row r="270" spans="1:29">
      <c r="A270" s="55"/>
      <c r="B270" s="55"/>
      <c r="C270" s="55"/>
      <c r="D270" s="55"/>
      <c r="E270" s="55"/>
      <c r="F270" s="70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</row>
    <row r="271" spans="1:29">
      <c r="A271" s="55"/>
      <c r="B271" s="55"/>
      <c r="C271" s="55"/>
      <c r="D271" s="55"/>
      <c r="E271" s="55"/>
      <c r="F271" s="70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</row>
    <row r="272" spans="1:29">
      <c r="A272" s="55"/>
      <c r="B272" s="55"/>
      <c r="C272" s="55"/>
      <c r="D272" s="55"/>
      <c r="E272" s="55"/>
      <c r="F272" s="70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</row>
    <row r="273" spans="1:29">
      <c r="A273" s="55"/>
      <c r="B273" s="55"/>
      <c r="C273" s="55"/>
      <c r="D273" s="55"/>
      <c r="E273" s="55"/>
      <c r="F273" s="70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</row>
    <row r="274" spans="1:29">
      <c r="A274" s="55"/>
      <c r="B274" s="55"/>
      <c r="C274" s="55"/>
      <c r="D274" s="55"/>
      <c r="E274" s="55"/>
      <c r="F274" s="70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</row>
    <row r="275" spans="1:29">
      <c r="A275" s="55"/>
      <c r="B275" s="55"/>
      <c r="C275" s="55"/>
      <c r="D275" s="55"/>
      <c r="E275" s="55"/>
      <c r="F275" s="70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</row>
    <row r="276" spans="1:29">
      <c r="A276" s="55"/>
      <c r="B276" s="55"/>
      <c r="C276" s="55"/>
      <c r="D276" s="55"/>
      <c r="E276" s="55"/>
      <c r="F276" s="70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</row>
    <row r="277" spans="1:29">
      <c r="A277" s="55"/>
      <c r="B277" s="55"/>
      <c r="C277" s="55"/>
      <c r="D277" s="55"/>
      <c r="E277" s="55"/>
      <c r="F277" s="70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</row>
    <row r="278" spans="1:29">
      <c r="A278" s="55"/>
      <c r="B278" s="55"/>
      <c r="C278" s="55"/>
      <c r="D278" s="55"/>
      <c r="E278" s="55"/>
      <c r="F278" s="70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</row>
    <row r="279" spans="1:29">
      <c r="A279" s="55"/>
      <c r="B279" s="55"/>
      <c r="C279" s="55"/>
      <c r="D279" s="55"/>
      <c r="E279" s="55"/>
      <c r="F279" s="70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</row>
    <row r="280" spans="1:29">
      <c r="A280" s="55"/>
      <c r="B280" s="55"/>
      <c r="C280" s="55"/>
      <c r="D280" s="55"/>
      <c r="E280" s="55"/>
      <c r="F280" s="70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</row>
    <row r="281" spans="1:29">
      <c r="A281" s="55"/>
      <c r="B281" s="55"/>
      <c r="C281" s="55"/>
      <c r="D281" s="55"/>
      <c r="E281" s="55"/>
      <c r="F281" s="70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</row>
    <row r="282" spans="1:29">
      <c r="A282" s="55"/>
      <c r="B282" s="55"/>
      <c r="C282" s="55"/>
      <c r="D282" s="55"/>
      <c r="E282" s="55"/>
      <c r="F282" s="70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</row>
    <row r="283" spans="1:29">
      <c r="A283" s="55"/>
      <c r="B283" s="55"/>
      <c r="C283" s="55"/>
      <c r="D283" s="55"/>
      <c r="E283" s="55"/>
      <c r="F283" s="70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</row>
    <row r="284" spans="1:29">
      <c r="A284" s="55"/>
      <c r="B284" s="55"/>
      <c r="C284" s="55"/>
      <c r="D284" s="55"/>
      <c r="E284" s="55"/>
      <c r="F284" s="70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</row>
    <row r="285" spans="1:29">
      <c r="A285" s="55"/>
      <c r="B285" s="55"/>
      <c r="C285" s="55"/>
      <c r="D285" s="55"/>
      <c r="E285" s="55"/>
      <c r="F285" s="70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</row>
    <row r="286" spans="1:29">
      <c r="A286" s="55"/>
      <c r="B286" s="55"/>
      <c r="C286" s="55"/>
      <c r="D286" s="55"/>
      <c r="E286" s="55"/>
      <c r="F286" s="70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</row>
    <row r="287" spans="1:29">
      <c r="A287" s="55"/>
      <c r="B287" s="55"/>
      <c r="C287" s="55"/>
      <c r="D287" s="55"/>
      <c r="E287" s="55"/>
      <c r="F287" s="70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</row>
    <row r="288" spans="1:29">
      <c r="A288" s="55"/>
      <c r="B288" s="55"/>
      <c r="C288" s="55"/>
      <c r="D288" s="55"/>
      <c r="E288" s="55"/>
      <c r="F288" s="70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</row>
    <row r="289" spans="1:29">
      <c r="A289" s="55"/>
      <c r="B289" s="55"/>
      <c r="C289" s="55"/>
      <c r="D289" s="55"/>
      <c r="E289" s="55"/>
      <c r="F289" s="70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</row>
    <row r="290" spans="1:29">
      <c r="A290" s="55"/>
      <c r="B290" s="55"/>
      <c r="C290" s="55"/>
      <c r="D290" s="55"/>
      <c r="E290" s="55"/>
      <c r="F290" s="70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</row>
    <row r="291" spans="1:29">
      <c r="A291" s="55"/>
      <c r="B291" s="55"/>
      <c r="C291" s="55"/>
      <c r="D291" s="55"/>
      <c r="E291" s="55"/>
      <c r="F291" s="70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</row>
    <row r="292" spans="1:29">
      <c r="A292" s="55"/>
      <c r="B292" s="55"/>
      <c r="C292" s="55"/>
      <c r="D292" s="55"/>
      <c r="E292" s="55"/>
      <c r="F292" s="70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</row>
    <row r="293" spans="1:29">
      <c r="A293" s="55"/>
      <c r="B293" s="55"/>
      <c r="C293" s="55"/>
      <c r="D293" s="55"/>
      <c r="E293" s="55"/>
      <c r="F293" s="70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</row>
    <row r="294" spans="1:29">
      <c r="A294" s="55"/>
      <c r="B294" s="55"/>
      <c r="C294" s="55"/>
      <c r="D294" s="55"/>
      <c r="E294" s="55"/>
      <c r="F294" s="70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</row>
    <row r="295" spans="1:29">
      <c r="A295" s="55"/>
      <c r="B295" s="55"/>
      <c r="C295" s="55"/>
      <c r="D295" s="55"/>
      <c r="E295" s="55"/>
      <c r="F295" s="70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</row>
    <row r="296" spans="1:29">
      <c r="A296" s="55"/>
      <c r="B296" s="55"/>
      <c r="C296" s="55"/>
      <c r="D296" s="55"/>
      <c r="E296" s="55"/>
      <c r="F296" s="70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</row>
    <row r="297" spans="1:29">
      <c r="A297" s="55"/>
      <c r="B297" s="55"/>
      <c r="C297" s="55"/>
      <c r="D297" s="55"/>
      <c r="E297" s="55"/>
      <c r="F297" s="70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</row>
    <row r="298" spans="1:29">
      <c r="A298" s="55"/>
      <c r="B298" s="55"/>
      <c r="C298" s="55"/>
      <c r="D298" s="55"/>
      <c r="E298" s="55"/>
      <c r="F298" s="70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</row>
    <row r="299" spans="1:29">
      <c r="A299" s="55"/>
      <c r="B299" s="55"/>
      <c r="C299" s="55"/>
      <c r="D299" s="55"/>
      <c r="E299" s="55"/>
      <c r="F299" s="70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</row>
    <row r="300" spans="1:29">
      <c r="A300" s="55"/>
      <c r="B300" s="55"/>
      <c r="C300" s="55"/>
      <c r="D300" s="55"/>
      <c r="E300" s="55"/>
      <c r="F300" s="70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</row>
    <row r="301" spans="1:29">
      <c r="A301" s="55"/>
      <c r="B301" s="55"/>
      <c r="C301" s="55"/>
      <c r="D301" s="55"/>
      <c r="E301" s="55"/>
      <c r="F301" s="70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</row>
    <row r="302" spans="1:29">
      <c r="A302" s="55"/>
      <c r="B302" s="55"/>
      <c r="C302" s="55"/>
      <c r="D302" s="55"/>
      <c r="E302" s="55"/>
      <c r="F302" s="70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</row>
    <row r="303" spans="1:29">
      <c r="A303" s="55"/>
      <c r="B303" s="55"/>
      <c r="C303" s="55"/>
      <c r="D303" s="55"/>
      <c r="E303" s="55"/>
      <c r="F303" s="70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</row>
    <row r="304" spans="1:29">
      <c r="A304" s="55"/>
      <c r="B304" s="55"/>
      <c r="C304" s="55"/>
      <c r="D304" s="55"/>
      <c r="E304" s="55"/>
      <c r="F304" s="70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</row>
    <row r="305" spans="1:29">
      <c r="A305" s="55"/>
      <c r="B305" s="55"/>
      <c r="C305" s="55"/>
      <c r="D305" s="55"/>
      <c r="E305" s="55"/>
      <c r="F305" s="70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</row>
    <row r="306" spans="1:29">
      <c r="A306" s="55"/>
      <c r="B306" s="55"/>
      <c r="C306" s="55"/>
      <c r="D306" s="55"/>
      <c r="E306" s="55"/>
      <c r="F306" s="70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</row>
    <row r="307" spans="1:29">
      <c r="A307" s="55"/>
      <c r="B307" s="55"/>
      <c r="C307" s="55"/>
      <c r="D307" s="55"/>
      <c r="E307" s="55"/>
      <c r="F307" s="70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</row>
    <row r="308" spans="1:29">
      <c r="A308" s="55"/>
      <c r="B308" s="55"/>
      <c r="C308" s="55"/>
      <c r="D308" s="55"/>
      <c r="E308" s="55"/>
      <c r="F308" s="70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</row>
    <row r="309" spans="1:29">
      <c r="A309" s="55"/>
      <c r="B309" s="55"/>
      <c r="C309" s="55"/>
      <c r="D309" s="55"/>
      <c r="E309" s="55"/>
      <c r="F309" s="70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</row>
    <row r="310" spans="1:29">
      <c r="A310" s="55"/>
      <c r="B310" s="55"/>
      <c r="C310" s="55"/>
      <c r="D310" s="55"/>
      <c r="E310" s="55"/>
      <c r="F310" s="70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</row>
    <row r="311" spans="1:29">
      <c r="A311" s="55"/>
      <c r="B311" s="55"/>
      <c r="C311" s="55"/>
      <c r="D311" s="55"/>
      <c r="E311" s="55"/>
      <c r="F311" s="70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</row>
    <row r="312" spans="1:29">
      <c r="A312" s="55"/>
      <c r="B312" s="55"/>
      <c r="C312" s="55"/>
      <c r="D312" s="55"/>
      <c r="E312" s="55"/>
      <c r="F312" s="70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</row>
    <row r="313" spans="1:29">
      <c r="A313" s="55"/>
      <c r="B313" s="55"/>
      <c r="C313" s="55"/>
      <c r="D313" s="55"/>
      <c r="E313" s="55"/>
      <c r="F313" s="70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</row>
    <row r="314" spans="1:29">
      <c r="A314" s="55"/>
      <c r="B314" s="55"/>
      <c r="C314" s="55"/>
      <c r="D314" s="55"/>
      <c r="E314" s="55"/>
      <c r="F314" s="70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</row>
    <row r="315" spans="1:29">
      <c r="A315" s="55"/>
      <c r="B315" s="55"/>
      <c r="C315" s="55"/>
      <c r="D315" s="55"/>
      <c r="E315" s="55"/>
      <c r="F315" s="70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</row>
    <row r="316" spans="1:29">
      <c r="A316" s="55"/>
      <c r="B316" s="55"/>
      <c r="C316" s="55"/>
      <c r="D316" s="55"/>
      <c r="E316" s="55"/>
      <c r="F316" s="70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</row>
    <row r="317" spans="1:29">
      <c r="A317" s="55"/>
      <c r="B317" s="55"/>
      <c r="C317" s="55"/>
      <c r="D317" s="55"/>
      <c r="E317" s="55"/>
      <c r="F317" s="70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</row>
    <row r="318" spans="1:29">
      <c r="A318" s="55"/>
      <c r="B318" s="55"/>
      <c r="C318" s="55"/>
      <c r="D318" s="55"/>
      <c r="E318" s="55"/>
      <c r="F318" s="70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</row>
    <row r="319" spans="1:29">
      <c r="A319" s="55"/>
      <c r="B319" s="55"/>
      <c r="C319" s="55"/>
      <c r="D319" s="55"/>
      <c r="E319" s="55"/>
      <c r="F319" s="70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</row>
    <row r="320" spans="1:29">
      <c r="A320" s="55"/>
      <c r="B320" s="55"/>
      <c r="C320" s="55"/>
      <c r="D320" s="55"/>
      <c r="E320" s="55"/>
      <c r="F320" s="70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</row>
    <row r="321" spans="1:29">
      <c r="A321" s="55"/>
      <c r="B321" s="55"/>
      <c r="C321" s="55"/>
      <c r="D321" s="55"/>
      <c r="E321" s="55"/>
      <c r="F321" s="70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</row>
    <row r="322" spans="1:29">
      <c r="A322" s="55"/>
      <c r="B322" s="55"/>
      <c r="C322" s="55"/>
      <c r="D322" s="55"/>
      <c r="E322" s="55"/>
      <c r="F322" s="70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</row>
    <row r="323" spans="1:29">
      <c r="A323" s="55"/>
      <c r="B323" s="55"/>
      <c r="C323" s="55"/>
      <c r="D323" s="55"/>
      <c r="E323" s="55"/>
      <c r="F323" s="70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</row>
    <row r="324" spans="1:29">
      <c r="A324" s="55"/>
      <c r="B324" s="55"/>
      <c r="C324" s="55"/>
      <c r="D324" s="55"/>
      <c r="E324" s="55"/>
      <c r="F324" s="70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</row>
    <row r="325" spans="1:29">
      <c r="A325" s="55"/>
      <c r="B325" s="55"/>
      <c r="C325" s="55"/>
      <c r="D325" s="55"/>
      <c r="E325" s="55"/>
      <c r="F325" s="70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</row>
    <row r="326" spans="1:29">
      <c r="A326" s="55"/>
      <c r="B326" s="55"/>
      <c r="C326" s="55"/>
      <c r="D326" s="55"/>
      <c r="E326" s="55"/>
      <c r="F326" s="70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</row>
    <row r="327" spans="1:29">
      <c r="A327" s="55"/>
      <c r="B327" s="55"/>
      <c r="C327" s="55"/>
      <c r="D327" s="55"/>
      <c r="E327" s="55"/>
      <c r="F327" s="70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</row>
    <row r="328" spans="1:29">
      <c r="A328" s="55"/>
      <c r="B328" s="55"/>
      <c r="C328" s="55"/>
      <c r="D328" s="55"/>
      <c r="E328" s="55"/>
      <c r="F328" s="70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</row>
    <row r="329" spans="1:29">
      <c r="A329" s="55"/>
      <c r="B329" s="55"/>
      <c r="C329" s="55"/>
      <c r="D329" s="55"/>
      <c r="E329" s="55"/>
      <c r="F329" s="70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</row>
    <row r="330" spans="1:29">
      <c r="A330" s="55"/>
      <c r="B330" s="55"/>
      <c r="C330" s="55"/>
      <c r="D330" s="55"/>
      <c r="E330" s="55"/>
      <c r="F330" s="70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</row>
    <row r="331" spans="1:29">
      <c r="A331" s="55"/>
      <c r="B331" s="55"/>
      <c r="C331" s="55"/>
      <c r="D331" s="55"/>
      <c r="E331" s="55"/>
      <c r="F331" s="70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</row>
    <row r="332" spans="1:29">
      <c r="A332" s="55"/>
      <c r="B332" s="55"/>
      <c r="C332" s="55"/>
      <c r="D332" s="55"/>
      <c r="E332" s="55"/>
      <c r="F332" s="70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</row>
    <row r="333" spans="1:29">
      <c r="A333" s="55"/>
      <c r="B333" s="55"/>
      <c r="C333" s="55"/>
      <c r="D333" s="55"/>
      <c r="E333" s="55"/>
      <c r="F333" s="70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</row>
    <row r="334" spans="1:29">
      <c r="A334" s="55"/>
      <c r="B334" s="55"/>
      <c r="C334" s="55"/>
      <c r="D334" s="55"/>
      <c r="E334" s="55"/>
      <c r="F334" s="70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</row>
    <row r="335" spans="1:29">
      <c r="A335" s="55"/>
      <c r="B335" s="55"/>
      <c r="C335" s="55"/>
      <c r="D335" s="55"/>
      <c r="E335" s="55"/>
      <c r="F335" s="70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</row>
    <row r="336" spans="1:29">
      <c r="A336" s="55"/>
      <c r="B336" s="55"/>
      <c r="C336" s="55"/>
      <c r="D336" s="55"/>
      <c r="E336" s="55"/>
      <c r="F336" s="70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</row>
    <row r="337" spans="1:29">
      <c r="A337" s="55"/>
      <c r="B337" s="55"/>
      <c r="C337" s="55"/>
      <c r="D337" s="55"/>
      <c r="E337" s="55"/>
      <c r="F337" s="70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</row>
    <row r="338" spans="1:29">
      <c r="A338" s="55"/>
      <c r="B338" s="55"/>
      <c r="C338" s="55"/>
      <c r="D338" s="55"/>
      <c r="E338" s="55"/>
      <c r="F338" s="70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</row>
    <row r="339" spans="1:29">
      <c r="A339" s="55"/>
      <c r="B339" s="55"/>
      <c r="C339" s="55"/>
      <c r="D339" s="55"/>
      <c r="E339" s="55"/>
      <c r="F339" s="70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</row>
    <row r="340" spans="1:29">
      <c r="A340" s="55"/>
      <c r="B340" s="55"/>
      <c r="C340" s="55"/>
      <c r="D340" s="55"/>
      <c r="E340" s="55"/>
      <c r="F340" s="70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</row>
    <row r="341" spans="1:29">
      <c r="A341" s="55"/>
      <c r="B341" s="55"/>
      <c r="C341" s="55"/>
      <c r="D341" s="55"/>
      <c r="E341" s="55"/>
      <c r="F341" s="70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</row>
    <row r="342" spans="1:29">
      <c r="A342" s="55"/>
      <c r="B342" s="55"/>
      <c r="C342" s="55"/>
      <c r="D342" s="55"/>
      <c r="E342" s="55"/>
      <c r="F342" s="70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</row>
    <row r="343" spans="1:29">
      <c r="A343" s="55"/>
      <c r="B343" s="55"/>
      <c r="C343" s="55"/>
      <c r="D343" s="55"/>
      <c r="E343" s="55"/>
      <c r="F343" s="70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</row>
    <row r="344" spans="1:29">
      <c r="A344" s="55"/>
      <c r="B344" s="55"/>
      <c r="C344" s="55"/>
      <c r="D344" s="55"/>
      <c r="E344" s="55"/>
      <c r="F344" s="70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</row>
    <row r="345" spans="1:29">
      <c r="A345" s="55"/>
      <c r="B345" s="55"/>
      <c r="C345" s="55"/>
      <c r="D345" s="55"/>
      <c r="E345" s="55"/>
      <c r="F345" s="70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</row>
    <row r="346" spans="1:29">
      <c r="A346" s="55"/>
      <c r="B346" s="55"/>
      <c r="C346" s="55"/>
      <c r="D346" s="55"/>
      <c r="E346" s="55"/>
      <c r="F346" s="70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</row>
    <row r="347" spans="1:29">
      <c r="A347" s="55"/>
      <c r="B347" s="55"/>
      <c r="C347" s="55"/>
      <c r="D347" s="55"/>
      <c r="E347" s="55"/>
      <c r="F347" s="70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</row>
    <row r="348" spans="1:29">
      <c r="A348" s="55"/>
      <c r="B348" s="55"/>
      <c r="C348" s="55"/>
      <c r="D348" s="55"/>
      <c r="E348" s="55"/>
      <c r="F348" s="70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</row>
    <row r="349" spans="1:29">
      <c r="A349" s="55"/>
      <c r="B349" s="55"/>
      <c r="C349" s="55"/>
      <c r="D349" s="55"/>
      <c r="E349" s="55"/>
      <c r="F349" s="70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</row>
    <row r="350" spans="1:29">
      <c r="A350" s="55"/>
      <c r="B350" s="55"/>
      <c r="C350" s="55"/>
      <c r="D350" s="55"/>
      <c r="E350" s="55"/>
      <c r="F350" s="70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</row>
    <row r="351" spans="1:29">
      <c r="A351" s="55"/>
      <c r="B351" s="55"/>
      <c r="C351" s="55"/>
      <c r="D351" s="55"/>
      <c r="E351" s="55"/>
      <c r="F351" s="70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</row>
    <row r="352" spans="1:29">
      <c r="A352" s="55"/>
      <c r="B352" s="55"/>
      <c r="C352" s="55"/>
      <c r="D352" s="55"/>
      <c r="E352" s="55"/>
      <c r="F352" s="70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</row>
    <row r="353" spans="1:29">
      <c r="A353" s="55"/>
      <c r="B353" s="55"/>
      <c r="C353" s="55"/>
      <c r="D353" s="55"/>
      <c r="E353" s="55"/>
      <c r="F353" s="70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</row>
    <row r="354" spans="1:29">
      <c r="A354" s="55"/>
      <c r="B354" s="55"/>
      <c r="C354" s="55"/>
      <c r="D354" s="55"/>
      <c r="E354" s="55"/>
      <c r="F354" s="70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</row>
    <row r="355" spans="1:29">
      <c r="A355" s="55"/>
      <c r="B355" s="55"/>
      <c r="C355" s="55"/>
      <c r="D355" s="55"/>
      <c r="E355" s="55"/>
      <c r="F355" s="70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</row>
    <row r="356" spans="1:29">
      <c r="A356" s="55"/>
      <c r="B356" s="55"/>
      <c r="C356" s="55"/>
      <c r="D356" s="55"/>
      <c r="E356" s="55"/>
      <c r="F356" s="70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</row>
    <row r="357" spans="1:29">
      <c r="A357" s="55"/>
      <c r="B357" s="55"/>
      <c r="C357" s="55"/>
      <c r="D357" s="55"/>
      <c r="E357" s="55"/>
      <c r="F357" s="70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</row>
    <row r="358" spans="1:29">
      <c r="A358" s="55"/>
      <c r="B358" s="55"/>
      <c r="C358" s="55"/>
      <c r="D358" s="55"/>
      <c r="E358" s="55"/>
      <c r="F358" s="70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</row>
    <row r="359" spans="1:29">
      <c r="A359" s="55"/>
      <c r="B359" s="55"/>
      <c r="C359" s="55"/>
      <c r="D359" s="55"/>
      <c r="E359" s="55"/>
      <c r="F359" s="70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</row>
    <row r="360" spans="1:29">
      <c r="A360" s="55"/>
      <c r="B360" s="55"/>
      <c r="C360" s="55"/>
      <c r="D360" s="55"/>
      <c r="E360" s="55"/>
      <c r="F360" s="70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</row>
    <row r="361" spans="1:29">
      <c r="A361" s="55"/>
      <c r="B361" s="55"/>
      <c r="C361" s="55"/>
      <c r="D361" s="55"/>
      <c r="E361" s="55"/>
      <c r="F361" s="70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</row>
    <row r="362" spans="1:29">
      <c r="A362" s="55"/>
      <c r="B362" s="55"/>
      <c r="C362" s="55"/>
      <c r="D362" s="55"/>
      <c r="E362" s="55"/>
      <c r="F362" s="70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</row>
    <row r="363" spans="1:29">
      <c r="A363" s="55"/>
      <c r="B363" s="55"/>
      <c r="C363" s="55"/>
      <c r="D363" s="55"/>
      <c r="E363" s="55"/>
      <c r="F363" s="70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</row>
    <row r="364" spans="1:29">
      <c r="A364" s="55"/>
      <c r="B364" s="55"/>
      <c r="C364" s="55"/>
      <c r="D364" s="55"/>
      <c r="E364" s="55"/>
      <c r="F364" s="70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</row>
    <row r="365" spans="1:29">
      <c r="A365" s="55"/>
      <c r="B365" s="55"/>
      <c r="C365" s="55"/>
      <c r="D365" s="55"/>
      <c r="E365" s="55"/>
      <c r="F365" s="70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</row>
    <row r="366" spans="1:29">
      <c r="A366" s="55"/>
      <c r="B366" s="55"/>
      <c r="C366" s="55"/>
      <c r="D366" s="55"/>
      <c r="E366" s="55"/>
      <c r="F366" s="70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</row>
    <row r="367" spans="1:29">
      <c r="A367" s="55"/>
      <c r="B367" s="55"/>
      <c r="C367" s="55"/>
      <c r="D367" s="55"/>
      <c r="E367" s="55"/>
      <c r="F367" s="70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</row>
    <row r="368" spans="1:29">
      <c r="A368" s="55"/>
      <c r="B368" s="55"/>
      <c r="C368" s="55"/>
      <c r="D368" s="55"/>
      <c r="E368" s="55"/>
      <c r="F368" s="70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</row>
    <row r="369" spans="1:29">
      <c r="A369" s="55"/>
      <c r="B369" s="55"/>
      <c r="C369" s="55"/>
      <c r="D369" s="55"/>
      <c r="E369" s="55"/>
      <c r="F369" s="70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</row>
    <row r="370" spans="1:29">
      <c r="A370" s="55"/>
      <c r="B370" s="55"/>
      <c r="C370" s="55"/>
      <c r="D370" s="55"/>
      <c r="E370" s="55"/>
      <c r="F370" s="70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</row>
    <row r="371" spans="1:29">
      <c r="A371" s="55"/>
      <c r="B371" s="55"/>
      <c r="C371" s="55"/>
      <c r="D371" s="55"/>
      <c r="E371" s="55"/>
      <c r="F371" s="70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</row>
    <row r="372" spans="1:29">
      <c r="A372" s="55"/>
      <c r="B372" s="55"/>
      <c r="C372" s="55"/>
      <c r="D372" s="55"/>
      <c r="E372" s="55"/>
      <c r="F372" s="70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</row>
    <row r="373" spans="1:29">
      <c r="A373" s="55"/>
      <c r="B373" s="55"/>
      <c r="C373" s="55"/>
      <c r="D373" s="55"/>
      <c r="E373" s="55"/>
      <c r="F373" s="70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</row>
    <row r="374" spans="1:29">
      <c r="A374" s="55"/>
      <c r="B374" s="55"/>
      <c r="C374" s="55"/>
      <c r="D374" s="55"/>
      <c r="E374" s="55"/>
      <c r="F374" s="70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</row>
    <row r="375" spans="1:29">
      <c r="A375" s="55"/>
      <c r="B375" s="55"/>
      <c r="C375" s="55"/>
      <c r="D375" s="55"/>
      <c r="E375" s="55"/>
      <c r="F375" s="70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</row>
    <row r="376" spans="1:29">
      <c r="A376" s="55"/>
      <c r="B376" s="55"/>
      <c r="C376" s="55"/>
      <c r="D376" s="55"/>
      <c r="E376" s="55"/>
      <c r="F376" s="70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</row>
    <row r="377" spans="1:29">
      <c r="A377" s="55"/>
      <c r="B377" s="55"/>
      <c r="C377" s="55"/>
      <c r="D377" s="55"/>
      <c r="E377" s="55"/>
      <c r="F377" s="70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</row>
    <row r="378" spans="1:29">
      <c r="A378" s="55"/>
      <c r="B378" s="55"/>
      <c r="C378" s="55"/>
      <c r="D378" s="55"/>
      <c r="E378" s="55"/>
      <c r="F378" s="70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</row>
    <row r="379" spans="1:29">
      <c r="A379" s="55"/>
      <c r="B379" s="55"/>
      <c r="C379" s="55"/>
      <c r="D379" s="55"/>
      <c r="E379" s="55"/>
      <c r="F379" s="70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</row>
    <row r="380" spans="1:29">
      <c r="A380" s="55"/>
      <c r="B380" s="55"/>
      <c r="C380" s="55"/>
      <c r="D380" s="55"/>
      <c r="E380" s="55"/>
      <c r="F380" s="70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</row>
    <row r="381" spans="1:29">
      <c r="A381" s="55"/>
      <c r="B381" s="55"/>
      <c r="C381" s="55"/>
      <c r="D381" s="55"/>
      <c r="E381" s="55"/>
      <c r="F381" s="70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</row>
    <row r="382" spans="1:29">
      <c r="A382" s="55"/>
      <c r="B382" s="55"/>
      <c r="C382" s="55"/>
      <c r="D382" s="55"/>
      <c r="E382" s="55"/>
      <c r="F382" s="70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</row>
    <row r="383" spans="1:29">
      <c r="A383" s="55"/>
      <c r="B383" s="55"/>
      <c r="C383" s="55"/>
      <c r="D383" s="55"/>
      <c r="E383" s="55"/>
      <c r="F383" s="70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</row>
    <row r="384" spans="1:29">
      <c r="A384" s="55"/>
      <c r="B384" s="55"/>
      <c r="C384" s="55"/>
      <c r="D384" s="55"/>
      <c r="E384" s="55"/>
      <c r="F384" s="70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</row>
    <row r="385" spans="1:29">
      <c r="A385" s="55"/>
      <c r="B385" s="55"/>
      <c r="C385" s="55"/>
      <c r="D385" s="55"/>
      <c r="E385" s="55"/>
      <c r="F385" s="70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</row>
    <row r="386" spans="1:29">
      <c r="A386" s="55"/>
      <c r="B386" s="55"/>
      <c r="C386" s="55"/>
      <c r="D386" s="55"/>
      <c r="E386" s="55"/>
      <c r="F386" s="70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</row>
    <row r="387" spans="1:29">
      <c r="A387" s="55"/>
      <c r="B387" s="55"/>
      <c r="C387" s="55"/>
      <c r="D387" s="55"/>
      <c r="E387" s="55"/>
      <c r="F387" s="70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</row>
    <row r="388" spans="1:29">
      <c r="A388" s="55"/>
      <c r="B388" s="55"/>
      <c r="C388" s="55"/>
      <c r="D388" s="55"/>
      <c r="E388" s="55"/>
      <c r="F388" s="70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</row>
    <row r="389" spans="1:29">
      <c r="A389" s="55"/>
      <c r="B389" s="55"/>
      <c r="C389" s="55"/>
      <c r="D389" s="55"/>
      <c r="E389" s="55"/>
      <c r="F389" s="70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</row>
    <row r="390" spans="1:29">
      <c r="A390" s="55"/>
      <c r="B390" s="55"/>
      <c r="C390" s="55"/>
      <c r="D390" s="55"/>
      <c r="E390" s="55"/>
      <c r="F390" s="70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</row>
    <row r="391" spans="1:29">
      <c r="A391" s="55"/>
      <c r="B391" s="55"/>
      <c r="C391" s="55"/>
      <c r="D391" s="55"/>
      <c r="E391" s="55"/>
      <c r="F391" s="70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</row>
    <row r="392" spans="1:29">
      <c r="A392" s="55"/>
      <c r="B392" s="55"/>
      <c r="C392" s="55"/>
      <c r="D392" s="55"/>
      <c r="E392" s="55"/>
      <c r="F392" s="70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</row>
    <row r="393" spans="1:29">
      <c r="A393" s="55"/>
      <c r="B393" s="55"/>
      <c r="C393" s="55"/>
      <c r="D393" s="55"/>
      <c r="E393" s="55"/>
      <c r="F393" s="70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</row>
    <row r="394" spans="1:29">
      <c r="A394" s="55"/>
      <c r="B394" s="55"/>
      <c r="C394" s="55"/>
      <c r="D394" s="55"/>
      <c r="E394" s="55"/>
      <c r="F394" s="70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</row>
    <row r="395" spans="1:29">
      <c r="A395" s="55"/>
      <c r="B395" s="55"/>
      <c r="C395" s="55"/>
      <c r="D395" s="55"/>
      <c r="E395" s="55"/>
      <c r="F395" s="70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</row>
    <row r="396" spans="1:29">
      <c r="A396" s="55"/>
      <c r="B396" s="55"/>
      <c r="C396" s="55"/>
      <c r="D396" s="55"/>
      <c r="E396" s="55"/>
      <c r="F396" s="70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</row>
    <row r="397" spans="1:29">
      <c r="A397" s="55"/>
      <c r="B397" s="55"/>
      <c r="C397" s="55"/>
      <c r="D397" s="55"/>
      <c r="E397" s="55"/>
      <c r="F397" s="70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</row>
    <row r="398" spans="1:29">
      <c r="A398" s="55"/>
      <c r="B398" s="55"/>
      <c r="C398" s="55"/>
      <c r="D398" s="55"/>
      <c r="E398" s="55"/>
      <c r="F398" s="70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</row>
    <row r="399" spans="1:29">
      <c r="A399" s="55"/>
      <c r="B399" s="55"/>
      <c r="C399" s="55"/>
      <c r="D399" s="55"/>
      <c r="E399" s="55"/>
      <c r="F399" s="70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</row>
    <row r="400" spans="1:29">
      <c r="A400" s="55"/>
      <c r="B400" s="55"/>
      <c r="C400" s="55"/>
      <c r="D400" s="55"/>
      <c r="E400" s="55"/>
      <c r="F400" s="70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</row>
    <row r="401" spans="1:29">
      <c r="A401" s="55"/>
      <c r="B401" s="55"/>
      <c r="C401" s="55"/>
      <c r="D401" s="55"/>
      <c r="E401" s="55"/>
      <c r="F401" s="70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</row>
    <row r="402" spans="1:29">
      <c r="A402" s="55"/>
      <c r="B402" s="55"/>
      <c r="C402" s="55"/>
      <c r="D402" s="55"/>
      <c r="E402" s="55"/>
      <c r="F402" s="70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</row>
    <row r="403" spans="1:29">
      <c r="A403" s="55"/>
      <c r="B403" s="55"/>
      <c r="C403" s="55"/>
      <c r="D403" s="55"/>
      <c r="E403" s="55"/>
      <c r="F403" s="70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</row>
    <row r="404" spans="1:29">
      <c r="A404" s="55"/>
      <c r="B404" s="55"/>
      <c r="C404" s="55"/>
      <c r="D404" s="55"/>
      <c r="E404" s="55"/>
      <c r="F404" s="70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</row>
    <row r="405" spans="1:29">
      <c r="A405" s="55"/>
      <c r="B405" s="55"/>
      <c r="C405" s="55"/>
      <c r="D405" s="55"/>
      <c r="E405" s="55"/>
      <c r="F405" s="70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</row>
    <row r="406" spans="1:29">
      <c r="A406" s="55"/>
      <c r="B406" s="55"/>
      <c r="C406" s="55"/>
      <c r="D406" s="55"/>
      <c r="E406" s="55"/>
      <c r="F406" s="70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</row>
    <row r="407" spans="1:29">
      <c r="A407" s="55"/>
      <c r="B407" s="55"/>
      <c r="C407" s="55"/>
      <c r="D407" s="55"/>
      <c r="E407" s="55"/>
      <c r="F407" s="70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</row>
    <row r="408" spans="1:29">
      <c r="A408" s="55"/>
      <c r="B408" s="55"/>
      <c r="C408" s="55"/>
      <c r="D408" s="55"/>
      <c r="E408" s="55"/>
      <c r="F408" s="70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</row>
    <row r="409" spans="1:29">
      <c r="A409" s="55"/>
      <c r="B409" s="55"/>
      <c r="C409" s="55"/>
      <c r="D409" s="55"/>
      <c r="E409" s="55"/>
      <c r="F409" s="70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</row>
    <row r="410" spans="1:29">
      <c r="A410" s="55"/>
      <c r="B410" s="55"/>
      <c r="C410" s="55"/>
      <c r="D410" s="55"/>
      <c r="E410" s="55"/>
      <c r="F410" s="70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</row>
    <row r="411" spans="1:29">
      <c r="A411" s="55"/>
      <c r="B411" s="55"/>
      <c r="C411" s="55"/>
      <c r="D411" s="55"/>
      <c r="E411" s="55"/>
      <c r="F411" s="70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</row>
    <row r="412" spans="1:29">
      <c r="A412" s="55"/>
      <c r="B412" s="55"/>
      <c r="C412" s="55"/>
      <c r="D412" s="55"/>
      <c r="E412" s="55"/>
      <c r="F412" s="70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</row>
    <row r="413" spans="1:29">
      <c r="A413" s="55"/>
      <c r="B413" s="55"/>
      <c r="C413" s="55"/>
      <c r="D413" s="55"/>
      <c r="E413" s="55"/>
      <c r="F413" s="70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</row>
    <row r="414" spans="1:29">
      <c r="A414" s="55"/>
      <c r="B414" s="55"/>
      <c r="C414" s="55"/>
      <c r="D414" s="55"/>
      <c r="E414" s="55"/>
      <c r="F414" s="70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</row>
    <row r="415" spans="1:29">
      <c r="A415" s="55"/>
      <c r="B415" s="55"/>
      <c r="C415" s="55"/>
      <c r="D415" s="55"/>
      <c r="E415" s="55"/>
      <c r="F415" s="70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</row>
    <row r="416" spans="1:29">
      <c r="A416" s="55"/>
      <c r="B416" s="55"/>
      <c r="C416" s="55"/>
      <c r="D416" s="55"/>
      <c r="E416" s="55"/>
      <c r="F416" s="70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</row>
    <row r="417" spans="1:29">
      <c r="A417" s="55"/>
      <c r="B417" s="55"/>
      <c r="C417" s="55"/>
      <c r="D417" s="55"/>
      <c r="E417" s="55"/>
      <c r="F417" s="70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</row>
    <row r="418" spans="1:29">
      <c r="A418" s="55"/>
      <c r="B418" s="55"/>
      <c r="C418" s="55"/>
      <c r="D418" s="55"/>
      <c r="E418" s="55"/>
      <c r="F418" s="70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</row>
    <row r="419" spans="1:29">
      <c r="A419" s="55"/>
      <c r="B419" s="55"/>
      <c r="C419" s="55"/>
      <c r="D419" s="55"/>
      <c r="E419" s="55"/>
      <c r="F419" s="70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</row>
    <row r="420" spans="1:29">
      <c r="A420" s="55"/>
      <c r="B420" s="55"/>
      <c r="C420" s="55"/>
      <c r="D420" s="55"/>
      <c r="E420" s="55"/>
      <c r="F420" s="70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</row>
    <row r="421" spans="1:29">
      <c r="A421" s="55"/>
      <c r="B421" s="55"/>
      <c r="C421" s="55"/>
      <c r="D421" s="55"/>
      <c r="E421" s="55"/>
      <c r="F421" s="70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</row>
    <row r="422" spans="1:29">
      <c r="A422" s="55"/>
      <c r="B422" s="55"/>
      <c r="C422" s="55"/>
      <c r="D422" s="55"/>
      <c r="E422" s="55"/>
      <c r="F422" s="70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</row>
    <row r="423" spans="1:29">
      <c r="A423" s="55"/>
      <c r="B423" s="55"/>
      <c r="C423" s="55"/>
      <c r="D423" s="55"/>
      <c r="E423" s="55"/>
      <c r="F423" s="70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</row>
    <row r="424" spans="1:29">
      <c r="A424" s="55"/>
      <c r="B424" s="55"/>
      <c r="C424" s="55"/>
      <c r="D424" s="55"/>
      <c r="E424" s="55"/>
      <c r="F424" s="70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</row>
    <row r="425" spans="1:29">
      <c r="A425" s="55"/>
      <c r="B425" s="55"/>
      <c r="C425" s="55"/>
      <c r="D425" s="55"/>
      <c r="E425" s="55"/>
      <c r="F425" s="70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</row>
    <row r="426" spans="1:29">
      <c r="A426" s="55"/>
      <c r="B426" s="55"/>
      <c r="C426" s="55"/>
      <c r="D426" s="55"/>
      <c r="E426" s="55"/>
      <c r="F426" s="70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</row>
    <row r="427" spans="1:29">
      <c r="A427" s="55"/>
      <c r="B427" s="55"/>
      <c r="C427" s="55"/>
      <c r="D427" s="55"/>
      <c r="E427" s="55"/>
      <c r="F427" s="70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</row>
    <row r="428" spans="1:29">
      <c r="A428" s="55"/>
      <c r="B428" s="55"/>
      <c r="C428" s="55"/>
      <c r="D428" s="55"/>
      <c r="E428" s="55"/>
      <c r="F428" s="70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</row>
    <row r="429" spans="1:29">
      <c r="A429" s="55"/>
      <c r="B429" s="55"/>
      <c r="C429" s="55"/>
      <c r="D429" s="55"/>
      <c r="E429" s="55"/>
      <c r="F429" s="70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</row>
    <row r="430" spans="1:29">
      <c r="A430" s="55"/>
      <c r="B430" s="55"/>
      <c r="C430" s="55"/>
      <c r="D430" s="55"/>
      <c r="E430" s="55"/>
      <c r="F430" s="70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</row>
    <row r="431" spans="1:29">
      <c r="A431" s="55"/>
      <c r="B431" s="55"/>
      <c r="C431" s="55"/>
      <c r="D431" s="55"/>
      <c r="E431" s="55"/>
      <c r="F431" s="70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</row>
    <row r="432" spans="1:29">
      <c r="A432" s="55"/>
      <c r="B432" s="55"/>
      <c r="C432" s="55"/>
      <c r="D432" s="55"/>
      <c r="E432" s="55"/>
      <c r="F432" s="70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</row>
    <row r="433" spans="1:29">
      <c r="A433" s="55"/>
      <c r="B433" s="55"/>
      <c r="C433" s="55"/>
      <c r="D433" s="55"/>
      <c r="E433" s="55"/>
      <c r="F433" s="70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</row>
    <row r="434" spans="1:29">
      <c r="A434" s="55"/>
      <c r="B434" s="55"/>
      <c r="C434" s="55"/>
      <c r="D434" s="55"/>
      <c r="E434" s="55"/>
      <c r="F434" s="70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</row>
    <row r="435" spans="1:29">
      <c r="A435" s="55"/>
      <c r="B435" s="55"/>
      <c r="C435" s="55"/>
      <c r="D435" s="55"/>
      <c r="E435" s="55"/>
      <c r="F435" s="70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</row>
    <row r="436" spans="1:29">
      <c r="A436" s="55"/>
      <c r="B436" s="55"/>
      <c r="C436" s="55"/>
      <c r="D436" s="55"/>
      <c r="E436" s="55"/>
      <c r="F436" s="70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</row>
    <row r="437" spans="1:29">
      <c r="A437" s="55"/>
      <c r="B437" s="55"/>
      <c r="C437" s="55"/>
      <c r="D437" s="55"/>
      <c r="E437" s="55"/>
      <c r="F437" s="70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</row>
    <row r="438" spans="1:29">
      <c r="A438" s="55"/>
      <c r="B438" s="55"/>
      <c r="C438" s="55"/>
      <c r="D438" s="55"/>
      <c r="E438" s="55"/>
      <c r="F438" s="70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</row>
    <row r="439" spans="1:29">
      <c r="A439" s="55"/>
      <c r="B439" s="55"/>
      <c r="C439" s="55"/>
      <c r="D439" s="55"/>
      <c r="E439" s="55"/>
      <c r="F439" s="70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</row>
    <row r="440" spans="1:29">
      <c r="A440" s="55"/>
      <c r="B440" s="55"/>
      <c r="C440" s="55"/>
      <c r="D440" s="55"/>
      <c r="E440" s="55"/>
      <c r="F440" s="70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</row>
    <row r="441" spans="1:29">
      <c r="A441" s="55"/>
      <c r="B441" s="55"/>
      <c r="C441" s="55"/>
      <c r="D441" s="55"/>
      <c r="E441" s="55"/>
      <c r="F441" s="70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</row>
    <row r="442" spans="1:29">
      <c r="A442" s="55"/>
      <c r="B442" s="55"/>
      <c r="C442" s="55"/>
      <c r="D442" s="55"/>
      <c r="E442" s="55"/>
      <c r="F442" s="70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</row>
    <row r="443" spans="1:29">
      <c r="A443" s="55"/>
      <c r="B443" s="55"/>
      <c r="C443" s="55"/>
      <c r="D443" s="55"/>
      <c r="E443" s="55"/>
      <c r="F443" s="70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</row>
    <row r="444" spans="1:29">
      <c r="A444" s="55"/>
      <c r="B444" s="55"/>
      <c r="C444" s="55"/>
      <c r="D444" s="55"/>
      <c r="E444" s="55"/>
      <c r="F444" s="70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</row>
    <row r="445" spans="1:29">
      <c r="A445" s="55"/>
      <c r="B445" s="55"/>
      <c r="C445" s="55"/>
      <c r="D445" s="55"/>
      <c r="E445" s="55"/>
      <c r="F445" s="70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</row>
    <row r="446" spans="1:29">
      <c r="A446" s="55"/>
      <c r="B446" s="55"/>
      <c r="C446" s="55"/>
      <c r="D446" s="55"/>
      <c r="E446" s="55"/>
      <c r="F446" s="70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</row>
    <row r="447" spans="1:29">
      <c r="A447" s="55"/>
      <c r="B447" s="55"/>
      <c r="C447" s="55"/>
      <c r="D447" s="55"/>
      <c r="E447" s="55"/>
      <c r="F447" s="70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</row>
    <row r="448" spans="1:29">
      <c r="A448" s="55"/>
      <c r="B448" s="55"/>
      <c r="C448" s="55"/>
      <c r="D448" s="55"/>
      <c r="E448" s="55"/>
      <c r="F448" s="70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</row>
    <row r="449" spans="1:29">
      <c r="A449" s="55"/>
      <c r="B449" s="55"/>
      <c r="C449" s="55"/>
      <c r="D449" s="55"/>
      <c r="E449" s="55"/>
      <c r="F449" s="70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</row>
    <row r="450" spans="1:29">
      <c r="A450" s="55"/>
      <c r="B450" s="55"/>
      <c r="C450" s="55"/>
      <c r="D450" s="55"/>
      <c r="E450" s="55"/>
      <c r="F450" s="70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</row>
    <row r="451" spans="1:29">
      <c r="A451" s="55"/>
      <c r="B451" s="55"/>
      <c r="C451" s="55"/>
      <c r="D451" s="55"/>
      <c r="E451" s="55"/>
      <c r="F451" s="70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</row>
    <row r="452" spans="1:29">
      <c r="A452" s="55"/>
      <c r="B452" s="55"/>
      <c r="C452" s="55"/>
      <c r="D452" s="55"/>
      <c r="E452" s="55"/>
      <c r="F452" s="70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</row>
    <row r="453" spans="1:29">
      <c r="A453" s="55"/>
      <c r="B453" s="55"/>
      <c r="C453" s="55"/>
      <c r="D453" s="55"/>
      <c r="E453" s="55"/>
      <c r="F453" s="70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</row>
    <row r="454" spans="1:29">
      <c r="A454" s="55"/>
      <c r="B454" s="55"/>
      <c r="C454" s="55"/>
      <c r="D454" s="55"/>
      <c r="E454" s="55"/>
      <c r="F454" s="70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</row>
    <row r="455" spans="1:29">
      <c r="A455" s="55"/>
      <c r="B455" s="55"/>
      <c r="C455" s="55"/>
      <c r="D455" s="55"/>
      <c r="E455" s="55"/>
      <c r="F455" s="70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</row>
    <row r="456" spans="1:29">
      <c r="A456" s="55"/>
      <c r="B456" s="55"/>
      <c r="C456" s="55"/>
      <c r="D456" s="55"/>
      <c r="E456" s="55"/>
      <c r="F456" s="70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</row>
    <row r="457" spans="1:29">
      <c r="A457" s="55"/>
      <c r="B457" s="55"/>
      <c r="C457" s="55"/>
      <c r="D457" s="55"/>
      <c r="E457" s="55"/>
      <c r="F457" s="70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</row>
    <row r="458" spans="1:29">
      <c r="A458" s="55"/>
      <c r="B458" s="55"/>
      <c r="C458" s="55"/>
      <c r="D458" s="55"/>
      <c r="E458" s="55"/>
      <c r="F458" s="70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</row>
    <row r="459" spans="1:29">
      <c r="A459" s="55"/>
      <c r="B459" s="55"/>
      <c r="C459" s="55"/>
      <c r="D459" s="55"/>
      <c r="E459" s="55"/>
      <c r="F459" s="70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</row>
    <row r="460" spans="1:29">
      <c r="A460" s="55"/>
      <c r="B460" s="55"/>
      <c r="C460" s="55"/>
      <c r="D460" s="55"/>
      <c r="E460" s="55"/>
      <c r="F460" s="70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</row>
    <row r="461" spans="1:29">
      <c r="A461" s="55"/>
      <c r="B461" s="55"/>
      <c r="C461" s="55"/>
      <c r="D461" s="55"/>
      <c r="E461" s="55"/>
      <c r="F461" s="70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</row>
    <row r="462" spans="1:29">
      <c r="A462" s="55"/>
      <c r="B462" s="55"/>
      <c r="C462" s="55"/>
      <c r="D462" s="55"/>
      <c r="E462" s="55"/>
      <c r="F462" s="70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</row>
    <row r="463" spans="1:29">
      <c r="A463" s="55"/>
      <c r="B463" s="55"/>
      <c r="C463" s="55"/>
      <c r="D463" s="55"/>
      <c r="E463" s="55"/>
      <c r="F463" s="70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</row>
    <row r="464" spans="1:29">
      <c r="A464" s="55"/>
      <c r="B464" s="55"/>
      <c r="C464" s="55"/>
      <c r="D464" s="55"/>
      <c r="E464" s="55"/>
      <c r="F464" s="70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</row>
    <row r="465" spans="1:29">
      <c r="A465" s="55"/>
      <c r="B465" s="55"/>
      <c r="C465" s="55"/>
      <c r="D465" s="55"/>
      <c r="E465" s="55"/>
      <c r="F465" s="70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</row>
    <row r="466" spans="1:29">
      <c r="A466" s="55"/>
      <c r="B466" s="55"/>
      <c r="C466" s="55"/>
      <c r="D466" s="55"/>
      <c r="E466" s="55"/>
      <c r="F466" s="70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</row>
    <row r="467" spans="1:29">
      <c r="A467" s="55"/>
      <c r="B467" s="55"/>
      <c r="C467" s="55"/>
      <c r="D467" s="55"/>
      <c r="E467" s="55"/>
      <c r="F467" s="70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</row>
    <row r="468" spans="1:29">
      <c r="A468" s="55"/>
      <c r="B468" s="55"/>
      <c r="C468" s="55"/>
      <c r="D468" s="55"/>
      <c r="E468" s="55"/>
      <c r="F468" s="70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</row>
    <row r="469" spans="1:29">
      <c r="A469" s="55"/>
      <c r="B469" s="55"/>
      <c r="C469" s="55"/>
      <c r="D469" s="55"/>
      <c r="E469" s="55"/>
      <c r="F469" s="70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</row>
    <row r="470" spans="1:29">
      <c r="A470" s="55"/>
      <c r="B470" s="55"/>
      <c r="C470" s="55"/>
      <c r="D470" s="55"/>
      <c r="E470" s="55"/>
      <c r="F470" s="70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</row>
    <row r="471" spans="1:29">
      <c r="A471" s="55"/>
      <c r="B471" s="55"/>
      <c r="C471" s="55"/>
      <c r="D471" s="55"/>
      <c r="E471" s="55"/>
      <c r="F471" s="70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</row>
    <row r="472" spans="1:29">
      <c r="A472" s="55"/>
      <c r="B472" s="55"/>
      <c r="C472" s="55"/>
      <c r="D472" s="55"/>
      <c r="E472" s="55"/>
      <c r="F472" s="70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</row>
    <row r="473" spans="1:29">
      <c r="A473" s="55"/>
      <c r="B473" s="55"/>
      <c r="C473" s="55"/>
      <c r="D473" s="55"/>
      <c r="E473" s="55"/>
      <c r="F473" s="70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</row>
    <row r="474" spans="1:29">
      <c r="A474" s="55"/>
      <c r="B474" s="55"/>
      <c r="C474" s="55"/>
      <c r="D474" s="55"/>
      <c r="E474" s="55"/>
      <c r="F474" s="70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</row>
    <row r="475" spans="1:29">
      <c r="A475" s="55"/>
      <c r="B475" s="55"/>
      <c r="C475" s="55"/>
      <c r="D475" s="55"/>
      <c r="E475" s="55"/>
      <c r="F475" s="70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</row>
    <row r="476" spans="1:29">
      <c r="A476" s="55"/>
      <c r="B476" s="55"/>
      <c r="C476" s="55"/>
      <c r="D476" s="55"/>
      <c r="E476" s="55"/>
      <c r="F476" s="70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</row>
    <row r="477" spans="1:29">
      <c r="A477" s="55"/>
      <c r="B477" s="55"/>
      <c r="C477" s="55"/>
      <c r="D477" s="55"/>
      <c r="E477" s="55"/>
      <c r="F477" s="70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</row>
    <row r="478" spans="1:29">
      <c r="A478" s="55"/>
      <c r="B478" s="55"/>
      <c r="C478" s="55"/>
      <c r="D478" s="55"/>
      <c r="E478" s="55"/>
      <c r="F478" s="70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</row>
    <row r="479" spans="1:29">
      <c r="A479" s="55"/>
      <c r="B479" s="55"/>
      <c r="C479" s="55"/>
      <c r="D479" s="55"/>
      <c r="E479" s="55"/>
      <c r="F479" s="70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</row>
    <row r="480" spans="1:29">
      <c r="A480" s="55"/>
      <c r="B480" s="55"/>
      <c r="C480" s="55"/>
      <c r="D480" s="55"/>
      <c r="E480" s="55"/>
      <c r="F480" s="70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</row>
    <row r="481" spans="1:29">
      <c r="A481" s="55"/>
      <c r="B481" s="55"/>
      <c r="C481" s="55"/>
      <c r="D481" s="55"/>
      <c r="E481" s="55"/>
      <c r="F481" s="70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</row>
    <row r="482" spans="1:29">
      <c r="A482" s="55"/>
      <c r="B482" s="55"/>
      <c r="C482" s="55"/>
      <c r="D482" s="55"/>
      <c r="E482" s="55"/>
      <c r="F482" s="70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</row>
    <row r="483" spans="1:29">
      <c r="A483" s="55"/>
      <c r="B483" s="55"/>
      <c r="C483" s="55"/>
      <c r="D483" s="55"/>
      <c r="E483" s="55"/>
      <c r="F483" s="70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</row>
    <row r="484" spans="1:29">
      <c r="A484" s="55"/>
      <c r="B484" s="55"/>
      <c r="C484" s="55"/>
      <c r="D484" s="55"/>
      <c r="E484" s="55"/>
      <c r="F484" s="70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</row>
    <row r="485" spans="1:29">
      <c r="A485" s="55"/>
      <c r="B485" s="55"/>
      <c r="C485" s="55"/>
      <c r="D485" s="55"/>
      <c r="E485" s="55"/>
      <c r="F485" s="70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</row>
    <row r="486" spans="1:29">
      <c r="A486" s="55"/>
      <c r="B486" s="55"/>
      <c r="C486" s="55"/>
      <c r="D486" s="55"/>
      <c r="E486" s="55"/>
      <c r="F486" s="70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</row>
    <row r="487" spans="1:29">
      <c r="A487" s="55"/>
      <c r="B487" s="55"/>
      <c r="C487" s="55"/>
      <c r="D487" s="55"/>
      <c r="E487" s="55"/>
      <c r="F487" s="70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</row>
    <row r="488" spans="1:29">
      <c r="A488" s="55"/>
      <c r="B488" s="55"/>
      <c r="C488" s="55"/>
      <c r="D488" s="55"/>
      <c r="E488" s="55"/>
      <c r="F488" s="70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</row>
    <row r="489" spans="1:29">
      <c r="A489" s="55"/>
      <c r="B489" s="55"/>
      <c r="C489" s="55"/>
      <c r="D489" s="55"/>
      <c r="E489" s="55"/>
      <c r="F489" s="70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</row>
    <row r="490" spans="1:29">
      <c r="A490" s="55"/>
      <c r="B490" s="55"/>
      <c r="C490" s="55"/>
      <c r="D490" s="55"/>
      <c r="E490" s="55"/>
      <c r="F490" s="70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</row>
    <row r="491" spans="1:29">
      <c r="A491" s="55"/>
      <c r="B491" s="55"/>
      <c r="C491" s="55"/>
      <c r="D491" s="55"/>
      <c r="E491" s="55"/>
      <c r="F491" s="70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</row>
    <row r="492" spans="1:29">
      <c r="A492" s="55"/>
      <c r="B492" s="55"/>
      <c r="C492" s="55"/>
      <c r="D492" s="55"/>
      <c r="E492" s="55"/>
      <c r="F492" s="70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</row>
    <row r="493" spans="1:29">
      <c r="A493" s="55"/>
      <c r="B493" s="55"/>
      <c r="C493" s="55"/>
      <c r="D493" s="55"/>
      <c r="E493" s="55"/>
      <c r="F493" s="70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</row>
    <row r="494" spans="1:29">
      <c r="A494" s="55"/>
      <c r="B494" s="55"/>
      <c r="C494" s="55"/>
      <c r="D494" s="55"/>
      <c r="E494" s="55"/>
      <c r="F494" s="70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</row>
    <row r="495" spans="1:29">
      <c r="A495" s="55"/>
      <c r="B495" s="55"/>
      <c r="C495" s="55"/>
      <c r="D495" s="55"/>
      <c r="E495" s="55"/>
      <c r="F495" s="70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</row>
    <row r="496" spans="1:29">
      <c r="A496" s="55"/>
      <c r="B496" s="55"/>
      <c r="C496" s="55"/>
      <c r="D496" s="55"/>
      <c r="E496" s="55"/>
      <c r="F496" s="70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</row>
    <row r="497" spans="1:29">
      <c r="A497" s="55"/>
      <c r="B497" s="55"/>
      <c r="C497" s="55"/>
      <c r="D497" s="55"/>
      <c r="E497" s="55"/>
      <c r="F497" s="70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</row>
    <row r="498" spans="1:29">
      <c r="A498" s="55"/>
      <c r="B498" s="55"/>
      <c r="C498" s="55"/>
      <c r="D498" s="55"/>
      <c r="E498" s="55"/>
      <c r="F498" s="70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</row>
    <row r="499" spans="1:29">
      <c r="A499" s="55"/>
      <c r="B499" s="55"/>
      <c r="C499" s="55"/>
      <c r="D499" s="55"/>
      <c r="E499" s="55"/>
      <c r="F499" s="70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</row>
    <row r="500" spans="1:29">
      <c r="A500" s="55"/>
      <c r="B500" s="55"/>
      <c r="C500" s="55"/>
      <c r="D500" s="55"/>
      <c r="E500" s="55"/>
      <c r="F500" s="70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</row>
    <row r="501" spans="1:29">
      <c r="A501" s="55"/>
      <c r="B501" s="55"/>
      <c r="C501" s="55"/>
      <c r="D501" s="55"/>
      <c r="E501" s="55"/>
      <c r="F501" s="70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</row>
    <row r="502" spans="1:29">
      <c r="A502" s="55"/>
      <c r="B502" s="55"/>
      <c r="C502" s="55"/>
      <c r="D502" s="55"/>
      <c r="E502" s="55"/>
      <c r="F502" s="70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</row>
    <row r="503" spans="1:29">
      <c r="A503" s="55"/>
      <c r="B503" s="55"/>
      <c r="C503" s="55"/>
      <c r="D503" s="55"/>
      <c r="E503" s="55"/>
      <c r="F503" s="70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</row>
    <row r="504" spans="1:29">
      <c r="A504" s="55"/>
      <c r="B504" s="55"/>
      <c r="C504" s="55"/>
      <c r="D504" s="55"/>
      <c r="E504" s="55"/>
      <c r="F504" s="70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</row>
    <row r="505" spans="1:29">
      <c r="A505" s="55"/>
      <c r="B505" s="55"/>
      <c r="C505" s="55"/>
      <c r="D505" s="55"/>
      <c r="E505" s="55"/>
      <c r="F505" s="70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</row>
    <row r="506" spans="1:29">
      <c r="A506" s="55"/>
      <c r="B506" s="55"/>
      <c r="C506" s="55"/>
      <c r="D506" s="55"/>
      <c r="E506" s="55"/>
      <c r="F506" s="70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</row>
    <row r="507" spans="1:29">
      <c r="A507" s="55"/>
      <c r="B507" s="55"/>
      <c r="C507" s="55"/>
      <c r="D507" s="55"/>
      <c r="E507" s="55"/>
      <c r="F507" s="70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</row>
    <row r="508" spans="1:29">
      <c r="A508" s="55"/>
      <c r="B508" s="55"/>
      <c r="C508" s="55"/>
      <c r="D508" s="55"/>
      <c r="E508" s="55"/>
      <c r="F508" s="70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</row>
    <row r="509" spans="1:29">
      <c r="A509" s="55"/>
      <c r="B509" s="55"/>
      <c r="C509" s="55"/>
      <c r="D509" s="55"/>
      <c r="E509" s="55"/>
      <c r="F509" s="70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</row>
    <row r="510" spans="1:29">
      <c r="A510" s="55"/>
      <c r="B510" s="55"/>
      <c r="C510" s="55"/>
      <c r="D510" s="55"/>
      <c r="E510" s="55"/>
      <c r="F510" s="70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</row>
    <row r="511" spans="1:29">
      <c r="A511" s="55"/>
      <c r="B511" s="55"/>
      <c r="C511" s="55"/>
      <c r="D511" s="55"/>
      <c r="E511" s="55"/>
      <c r="F511" s="70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</row>
    <row r="512" spans="1:29">
      <c r="A512" s="55"/>
      <c r="B512" s="55"/>
      <c r="C512" s="55"/>
      <c r="D512" s="55"/>
      <c r="E512" s="55"/>
      <c r="F512" s="70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</row>
    <row r="513" spans="1:29">
      <c r="A513" s="55"/>
      <c r="B513" s="55"/>
      <c r="C513" s="55"/>
      <c r="D513" s="55"/>
      <c r="E513" s="55"/>
      <c r="F513" s="70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</row>
    <row r="514" spans="1:29">
      <c r="A514" s="55"/>
      <c r="B514" s="55"/>
      <c r="C514" s="55"/>
      <c r="D514" s="55"/>
      <c r="E514" s="55"/>
      <c r="F514" s="70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</row>
    <row r="515" spans="1:29">
      <c r="A515" s="55"/>
      <c r="B515" s="55"/>
      <c r="C515" s="55"/>
      <c r="D515" s="55"/>
      <c r="E515" s="55"/>
      <c r="F515" s="70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</row>
    <row r="516" spans="1:29">
      <c r="A516" s="55"/>
      <c r="B516" s="55"/>
      <c r="C516" s="55"/>
      <c r="D516" s="55"/>
      <c r="E516" s="55"/>
      <c r="F516" s="70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</row>
    <row r="517" spans="1:29">
      <c r="A517" s="55"/>
      <c r="B517" s="55"/>
      <c r="C517" s="55"/>
      <c r="D517" s="55"/>
      <c r="E517" s="55"/>
      <c r="F517" s="70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</row>
    <row r="518" spans="1:29">
      <c r="A518" s="55"/>
      <c r="B518" s="55"/>
      <c r="C518" s="55"/>
      <c r="D518" s="55"/>
      <c r="E518" s="55"/>
      <c r="F518" s="70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</row>
    <row r="519" spans="1:29">
      <c r="A519" s="55"/>
      <c r="B519" s="55"/>
      <c r="C519" s="55"/>
      <c r="D519" s="55"/>
      <c r="E519" s="55"/>
      <c r="F519" s="70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</row>
    <row r="520" spans="1:29">
      <c r="A520" s="55"/>
      <c r="B520" s="55"/>
      <c r="C520" s="55"/>
      <c r="D520" s="55"/>
      <c r="E520" s="55"/>
      <c r="F520" s="70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</row>
    <row r="521" spans="1:29">
      <c r="A521" s="55"/>
      <c r="B521" s="55"/>
      <c r="C521" s="55"/>
      <c r="D521" s="55"/>
      <c r="E521" s="55"/>
      <c r="F521" s="70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</row>
    <row r="522" spans="1:29">
      <c r="A522" s="55"/>
      <c r="B522" s="55"/>
      <c r="C522" s="55"/>
      <c r="D522" s="55"/>
      <c r="E522" s="55"/>
      <c r="F522" s="70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</row>
    <row r="523" spans="1:29">
      <c r="A523" s="55"/>
      <c r="B523" s="55"/>
      <c r="C523" s="55"/>
      <c r="D523" s="55"/>
      <c r="E523" s="55"/>
      <c r="F523" s="70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</row>
    <row r="524" spans="1:29">
      <c r="A524" s="55"/>
      <c r="B524" s="55"/>
      <c r="C524" s="55"/>
      <c r="D524" s="55"/>
      <c r="E524" s="55"/>
      <c r="F524" s="70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</row>
    <row r="525" spans="1:29">
      <c r="A525" s="55"/>
      <c r="B525" s="55"/>
      <c r="C525" s="55"/>
      <c r="D525" s="55"/>
      <c r="E525" s="55"/>
      <c r="F525" s="70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</row>
    <row r="526" spans="1:29">
      <c r="A526" s="55"/>
      <c r="B526" s="55"/>
      <c r="C526" s="55"/>
      <c r="D526" s="55"/>
      <c r="E526" s="55"/>
      <c r="F526" s="70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</row>
    <row r="527" spans="1:29">
      <c r="A527" s="55"/>
      <c r="B527" s="55"/>
      <c r="C527" s="55"/>
      <c r="D527" s="55"/>
      <c r="E527" s="55"/>
      <c r="F527" s="70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</row>
    <row r="528" spans="1:29">
      <c r="A528" s="55"/>
      <c r="B528" s="55"/>
      <c r="C528" s="55"/>
      <c r="D528" s="55"/>
      <c r="E528" s="55"/>
      <c r="F528" s="70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</row>
    <row r="529" spans="1:29">
      <c r="A529" s="55"/>
      <c r="B529" s="55"/>
      <c r="C529" s="55"/>
      <c r="D529" s="55"/>
      <c r="E529" s="55"/>
      <c r="F529" s="70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</row>
    <row r="530" spans="1:29">
      <c r="A530" s="55"/>
      <c r="B530" s="55"/>
      <c r="C530" s="55"/>
      <c r="D530" s="55"/>
      <c r="E530" s="55"/>
      <c r="F530" s="70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</row>
    <row r="531" spans="1:29">
      <c r="A531" s="55"/>
      <c r="B531" s="55"/>
      <c r="C531" s="55"/>
      <c r="D531" s="55"/>
      <c r="E531" s="55"/>
      <c r="F531" s="70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</row>
    <row r="532" spans="1:29">
      <c r="A532" s="55"/>
      <c r="B532" s="55"/>
      <c r="C532" s="55"/>
      <c r="D532" s="55"/>
      <c r="E532" s="55"/>
      <c r="F532" s="70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</row>
    <row r="533" spans="1:29">
      <c r="A533" s="55"/>
      <c r="B533" s="55"/>
      <c r="C533" s="55"/>
      <c r="D533" s="55"/>
      <c r="E533" s="55"/>
      <c r="F533" s="70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</row>
    <row r="534" spans="1:29">
      <c r="A534" s="55"/>
      <c r="B534" s="55"/>
      <c r="C534" s="55"/>
      <c r="D534" s="55"/>
      <c r="E534" s="55"/>
      <c r="F534" s="70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</row>
    <row r="535" spans="1:29">
      <c r="A535" s="55"/>
      <c r="B535" s="55"/>
      <c r="C535" s="55"/>
      <c r="D535" s="55"/>
      <c r="E535" s="55"/>
      <c r="F535" s="70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</row>
    <row r="536" spans="1:29">
      <c r="A536" s="55"/>
      <c r="B536" s="55"/>
      <c r="C536" s="55"/>
      <c r="D536" s="55"/>
      <c r="E536" s="55"/>
      <c r="F536" s="70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</row>
    <row r="537" spans="1:29">
      <c r="A537" s="55"/>
      <c r="B537" s="55"/>
      <c r="C537" s="55"/>
      <c r="D537" s="55"/>
      <c r="E537" s="55"/>
      <c r="F537" s="70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</row>
    <row r="538" spans="1:29">
      <c r="A538" s="55"/>
      <c r="B538" s="55"/>
      <c r="C538" s="55"/>
      <c r="D538" s="55"/>
      <c r="E538" s="55"/>
      <c r="F538" s="70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</row>
    <row r="539" spans="1:29">
      <c r="A539" s="55"/>
      <c r="B539" s="55"/>
      <c r="C539" s="55"/>
      <c r="D539" s="55"/>
      <c r="E539" s="55"/>
      <c r="F539" s="70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</row>
    <row r="540" spans="1:29">
      <c r="A540" s="55"/>
      <c r="B540" s="55"/>
      <c r="C540" s="55"/>
      <c r="D540" s="55"/>
      <c r="E540" s="55"/>
      <c r="F540" s="70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</row>
    <row r="541" spans="1:29">
      <c r="A541" s="55"/>
      <c r="B541" s="55"/>
      <c r="C541" s="55"/>
      <c r="D541" s="55"/>
      <c r="E541" s="55"/>
      <c r="F541" s="70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</row>
    <row r="542" spans="1:29">
      <c r="A542" s="55"/>
      <c r="B542" s="55"/>
      <c r="C542" s="55"/>
      <c r="D542" s="55"/>
      <c r="E542" s="55"/>
      <c r="F542" s="70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</row>
    <row r="543" spans="1:29">
      <c r="A543" s="55"/>
      <c r="B543" s="55"/>
      <c r="C543" s="55"/>
      <c r="D543" s="55"/>
      <c r="E543" s="55"/>
      <c r="F543" s="70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</row>
    <row r="544" spans="1:29">
      <c r="A544" s="55"/>
      <c r="B544" s="55"/>
      <c r="C544" s="55"/>
      <c r="D544" s="55"/>
      <c r="E544" s="55"/>
      <c r="F544" s="70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</row>
    <row r="545" spans="1:29">
      <c r="A545" s="55"/>
      <c r="B545" s="55"/>
      <c r="C545" s="55"/>
      <c r="D545" s="55"/>
      <c r="E545" s="55"/>
      <c r="F545" s="70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</row>
    <row r="546" spans="1:29">
      <c r="A546" s="55"/>
      <c r="B546" s="55"/>
      <c r="C546" s="55"/>
      <c r="D546" s="55"/>
      <c r="E546" s="55"/>
      <c r="F546" s="70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</row>
    <row r="547" spans="1:29">
      <c r="A547" s="55"/>
      <c r="B547" s="55"/>
      <c r="C547" s="55"/>
      <c r="D547" s="55"/>
      <c r="E547" s="55"/>
      <c r="F547" s="70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</row>
    <row r="548" spans="1:29">
      <c r="A548" s="55"/>
      <c r="B548" s="55"/>
      <c r="C548" s="55"/>
      <c r="D548" s="55"/>
      <c r="E548" s="55"/>
      <c r="F548" s="70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</row>
    <row r="549" spans="1:29">
      <c r="A549" s="55"/>
      <c r="B549" s="55"/>
      <c r="C549" s="55"/>
      <c r="D549" s="55"/>
      <c r="E549" s="55"/>
      <c r="F549" s="70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</row>
    <row r="550" spans="1:29">
      <c r="A550" s="55"/>
      <c r="B550" s="55"/>
      <c r="C550" s="55"/>
      <c r="D550" s="55"/>
      <c r="E550" s="55"/>
      <c r="F550" s="70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</row>
    <row r="551" spans="1:29">
      <c r="A551" s="55"/>
      <c r="B551" s="55"/>
      <c r="C551" s="55"/>
      <c r="D551" s="55"/>
      <c r="E551" s="55"/>
      <c r="F551" s="70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</row>
    <row r="552" spans="1:29">
      <c r="A552" s="55"/>
      <c r="B552" s="55"/>
      <c r="C552" s="55"/>
      <c r="D552" s="55"/>
      <c r="E552" s="55"/>
      <c r="F552" s="70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</row>
    <row r="553" spans="1:29">
      <c r="A553" s="55"/>
      <c r="B553" s="55"/>
      <c r="C553" s="55"/>
      <c r="D553" s="55"/>
      <c r="E553" s="55"/>
      <c r="F553" s="70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</row>
    <row r="554" spans="1:29">
      <c r="A554" s="55"/>
      <c r="B554" s="55"/>
      <c r="C554" s="55"/>
      <c r="D554" s="55"/>
      <c r="E554" s="55"/>
      <c r="F554" s="70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</row>
    <row r="555" spans="1:29">
      <c r="A555" s="55"/>
      <c r="B555" s="55"/>
      <c r="C555" s="55"/>
      <c r="D555" s="55"/>
      <c r="E555" s="55"/>
      <c r="F555" s="70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</row>
    <row r="556" spans="1:29">
      <c r="A556" s="55"/>
      <c r="B556" s="55"/>
      <c r="C556" s="55"/>
      <c r="D556" s="55"/>
      <c r="E556" s="55"/>
      <c r="F556" s="70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</row>
    <row r="557" spans="1:29">
      <c r="A557" s="55"/>
      <c r="B557" s="55"/>
      <c r="C557" s="55"/>
      <c r="D557" s="55"/>
      <c r="E557" s="55"/>
      <c r="F557" s="70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</row>
    <row r="558" spans="1:29">
      <c r="A558" s="55"/>
      <c r="B558" s="55"/>
      <c r="C558" s="55"/>
      <c r="D558" s="55"/>
      <c r="E558" s="55"/>
      <c r="F558" s="70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</row>
    <row r="559" spans="1:29">
      <c r="A559" s="55"/>
      <c r="B559" s="55"/>
      <c r="C559" s="55"/>
      <c r="D559" s="55"/>
      <c r="E559" s="55"/>
      <c r="F559" s="70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</row>
    <row r="560" spans="1:29">
      <c r="A560" s="55"/>
      <c r="B560" s="55"/>
      <c r="C560" s="55"/>
      <c r="D560" s="55"/>
      <c r="E560" s="55"/>
      <c r="F560" s="70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</row>
    <row r="561" spans="1:29">
      <c r="A561" s="55"/>
      <c r="B561" s="55"/>
      <c r="C561" s="55"/>
      <c r="D561" s="55"/>
      <c r="E561" s="55"/>
      <c r="F561" s="70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</row>
    <row r="562" spans="1:29">
      <c r="A562" s="55"/>
      <c r="B562" s="55"/>
      <c r="C562" s="55"/>
      <c r="D562" s="55"/>
      <c r="E562" s="55"/>
      <c r="F562" s="70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</row>
    <row r="563" spans="1:29">
      <c r="A563" s="55"/>
      <c r="B563" s="55"/>
      <c r="C563" s="55"/>
      <c r="D563" s="55"/>
      <c r="E563" s="55"/>
      <c r="F563" s="70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</row>
    <row r="564" spans="1:29">
      <c r="A564" s="55"/>
      <c r="B564" s="55"/>
      <c r="C564" s="55"/>
      <c r="D564" s="55"/>
      <c r="E564" s="55"/>
      <c r="F564" s="70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</row>
    <row r="565" spans="1:29">
      <c r="A565" s="55"/>
      <c r="B565" s="55"/>
      <c r="C565" s="55"/>
      <c r="D565" s="55"/>
      <c r="E565" s="55"/>
      <c r="F565" s="70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</row>
    <row r="566" spans="1:29">
      <c r="A566" s="55"/>
      <c r="B566" s="55"/>
      <c r="C566" s="55"/>
      <c r="D566" s="55"/>
      <c r="E566" s="55"/>
      <c r="F566" s="70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</row>
    <row r="567" spans="1:29">
      <c r="A567" s="55"/>
      <c r="B567" s="55"/>
      <c r="C567" s="55"/>
      <c r="D567" s="55"/>
      <c r="E567" s="55"/>
      <c r="F567" s="70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</row>
    <row r="568" spans="1:29">
      <c r="A568" s="55"/>
      <c r="B568" s="55"/>
      <c r="C568" s="55"/>
      <c r="D568" s="55"/>
      <c r="E568" s="55"/>
      <c r="F568" s="70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</row>
    <row r="569" spans="1:29">
      <c r="A569" s="55"/>
      <c r="B569" s="55"/>
      <c r="C569" s="55"/>
      <c r="D569" s="55"/>
      <c r="E569" s="55"/>
      <c r="F569" s="70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</row>
    <row r="570" spans="1:29">
      <c r="A570" s="55"/>
      <c r="B570" s="55"/>
      <c r="C570" s="55"/>
      <c r="D570" s="55"/>
      <c r="E570" s="55"/>
      <c r="F570" s="70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</row>
    <row r="571" spans="1:29">
      <c r="A571" s="55"/>
      <c r="B571" s="55"/>
      <c r="C571" s="55"/>
      <c r="D571" s="55"/>
      <c r="E571" s="55"/>
      <c r="F571" s="70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</row>
    <row r="572" spans="1:29">
      <c r="A572" s="55"/>
      <c r="B572" s="55"/>
      <c r="C572" s="55"/>
      <c r="D572" s="55"/>
      <c r="E572" s="55"/>
      <c r="F572" s="70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</row>
    <row r="573" spans="1:29">
      <c r="A573" s="55"/>
      <c r="B573" s="55"/>
      <c r="C573" s="55"/>
      <c r="D573" s="55"/>
      <c r="E573" s="55"/>
      <c r="F573" s="70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</row>
    <row r="574" spans="1:29">
      <c r="A574" s="55"/>
      <c r="B574" s="55"/>
      <c r="C574" s="55"/>
      <c r="D574" s="55"/>
      <c r="E574" s="55"/>
      <c r="F574" s="70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</row>
    <row r="575" spans="1:29">
      <c r="A575" s="55"/>
      <c r="B575" s="55"/>
      <c r="C575" s="55"/>
      <c r="D575" s="55"/>
      <c r="E575" s="55"/>
      <c r="F575" s="70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</row>
    <row r="576" spans="1:29">
      <c r="A576" s="55"/>
      <c r="B576" s="55"/>
      <c r="C576" s="55"/>
      <c r="D576" s="55"/>
      <c r="E576" s="55"/>
      <c r="F576" s="70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</row>
    <row r="577" spans="1:29">
      <c r="A577" s="55"/>
      <c r="B577" s="55"/>
      <c r="C577" s="55"/>
      <c r="D577" s="55"/>
      <c r="E577" s="55"/>
      <c r="F577" s="70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</row>
    <row r="578" spans="1:29">
      <c r="A578" s="55"/>
      <c r="B578" s="55"/>
      <c r="C578" s="55"/>
      <c r="D578" s="55"/>
      <c r="E578" s="55"/>
      <c r="F578" s="70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</row>
    <row r="579" spans="1:29">
      <c r="A579" s="55"/>
      <c r="B579" s="55"/>
      <c r="C579" s="55"/>
      <c r="D579" s="55"/>
      <c r="E579" s="55"/>
      <c r="F579" s="70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</row>
    <row r="580" spans="1:29">
      <c r="A580" s="55"/>
      <c r="B580" s="55"/>
      <c r="C580" s="55"/>
      <c r="D580" s="55"/>
      <c r="E580" s="55"/>
      <c r="F580" s="70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</row>
    <row r="581" spans="1:29">
      <c r="A581" s="55"/>
      <c r="B581" s="55"/>
      <c r="C581" s="55"/>
      <c r="D581" s="55"/>
      <c r="E581" s="55"/>
      <c r="F581" s="70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</row>
    <row r="582" spans="1:29">
      <c r="A582" s="55"/>
      <c r="B582" s="55"/>
      <c r="C582" s="55"/>
      <c r="D582" s="55"/>
      <c r="E582" s="55"/>
      <c r="F582" s="70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</row>
    <row r="583" spans="1:29">
      <c r="A583" s="55"/>
      <c r="B583" s="55"/>
      <c r="C583" s="55"/>
      <c r="D583" s="55"/>
      <c r="E583" s="55"/>
      <c r="F583" s="70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</row>
    <row r="584" spans="1:29">
      <c r="A584" s="55"/>
      <c r="B584" s="55"/>
      <c r="C584" s="55"/>
      <c r="D584" s="55"/>
      <c r="E584" s="55"/>
      <c r="F584" s="70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</row>
    <row r="585" spans="1:29">
      <c r="A585" s="55"/>
      <c r="B585" s="55"/>
      <c r="C585" s="55"/>
      <c r="D585" s="55"/>
      <c r="E585" s="55"/>
      <c r="F585" s="70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</row>
    <row r="586" spans="1:29">
      <c r="A586" s="55"/>
      <c r="B586" s="55"/>
      <c r="C586" s="55"/>
      <c r="D586" s="55"/>
      <c r="E586" s="55"/>
      <c r="F586" s="70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</row>
    <row r="587" spans="1:29">
      <c r="A587" s="55"/>
      <c r="B587" s="55"/>
      <c r="C587" s="55"/>
      <c r="D587" s="55"/>
      <c r="E587" s="55"/>
      <c r="F587" s="70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</row>
    <row r="588" spans="1:29">
      <c r="A588" s="55"/>
      <c r="B588" s="55"/>
      <c r="C588" s="55"/>
      <c r="D588" s="55"/>
      <c r="E588" s="55"/>
      <c r="F588" s="70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</row>
    <row r="589" spans="1:29">
      <c r="A589" s="55"/>
      <c r="B589" s="55"/>
      <c r="C589" s="55"/>
      <c r="D589" s="55"/>
      <c r="E589" s="55"/>
      <c r="F589" s="70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</row>
    <row r="590" spans="1:29">
      <c r="A590" s="55"/>
      <c r="B590" s="55"/>
      <c r="C590" s="55"/>
      <c r="D590" s="55"/>
      <c r="E590" s="55"/>
      <c r="F590" s="70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</row>
    <row r="591" spans="1:29">
      <c r="A591" s="55"/>
      <c r="B591" s="55"/>
      <c r="C591" s="55"/>
      <c r="D591" s="55"/>
      <c r="E591" s="55"/>
      <c r="F591" s="70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</row>
    <row r="592" spans="1:29">
      <c r="A592" s="55"/>
      <c r="B592" s="55"/>
      <c r="C592" s="55"/>
      <c r="D592" s="55"/>
      <c r="E592" s="55"/>
      <c r="F592" s="70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</row>
    <row r="593" spans="1:29">
      <c r="A593" s="55"/>
      <c r="B593" s="55"/>
      <c r="C593" s="55"/>
      <c r="D593" s="55"/>
      <c r="E593" s="55"/>
      <c r="F593" s="70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</row>
    <row r="594" spans="1:29">
      <c r="A594" s="55"/>
      <c r="B594" s="55"/>
      <c r="C594" s="55"/>
      <c r="D594" s="55"/>
      <c r="E594" s="55"/>
      <c r="F594" s="70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</row>
    <row r="595" spans="1:29">
      <c r="A595" s="55"/>
      <c r="B595" s="55"/>
      <c r="C595" s="55"/>
      <c r="D595" s="55"/>
      <c r="E595" s="55"/>
      <c r="F595" s="70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</row>
    <row r="596" spans="1:29">
      <c r="A596" s="55"/>
      <c r="B596" s="55"/>
      <c r="C596" s="55"/>
      <c r="D596" s="55"/>
      <c r="E596" s="55"/>
      <c r="F596" s="70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</row>
    <row r="597" spans="1:29">
      <c r="A597" s="55"/>
      <c r="B597" s="55"/>
      <c r="C597" s="55"/>
      <c r="D597" s="55"/>
      <c r="E597" s="55"/>
      <c r="F597" s="70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</row>
    <row r="598" spans="1:29">
      <c r="A598" s="55"/>
      <c r="B598" s="55"/>
      <c r="C598" s="55"/>
      <c r="D598" s="55"/>
      <c r="E598" s="55"/>
      <c r="F598" s="70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</row>
    <row r="599" spans="1:29">
      <c r="A599" s="55"/>
      <c r="B599" s="55"/>
      <c r="C599" s="55"/>
      <c r="D599" s="55"/>
      <c r="E599" s="55"/>
      <c r="F599" s="70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</row>
    <row r="600" spans="1:29">
      <c r="A600" s="55"/>
      <c r="B600" s="55"/>
      <c r="C600" s="55"/>
      <c r="D600" s="55"/>
      <c r="E600" s="55"/>
      <c r="F600" s="70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</row>
    <row r="601" spans="1:29">
      <c r="A601" s="55"/>
      <c r="B601" s="55"/>
      <c r="C601" s="55"/>
      <c r="D601" s="55"/>
      <c r="E601" s="55"/>
      <c r="F601" s="70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</row>
    <row r="602" spans="1:29">
      <c r="A602" s="55"/>
      <c r="B602" s="55"/>
      <c r="C602" s="55"/>
      <c r="D602" s="55"/>
      <c r="E602" s="55"/>
      <c r="F602" s="70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</row>
    <row r="603" spans="1:29">
      <c r="A603" s="55"/>
      <c r="B603" s="55"/>
      <c r="C603" s="55"/>
      <c r="D603" s="55"/>
      <c r="E603" s="55"/>
      <c r="F603" s="70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</row>
    <row r="604" spans="1:29">
      <c r="A604" s="55"/>
      <c r="B604" s="55"/>
      <c r="C604" s="55"/>
      <c r="D604" s="55"/>
      <c r="E604" s="55"/>
      <c r="F604" s="70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</row>
    <row r="605" spans="1:29">
      <c r="A605" s="55"/>
      <c r="B605" s="55"/>
      <c r="C605" s="55"/>
      <c r="D605" s="55"/>
      <c r="E605" s="55"/>
      <c r="F605" s="70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</row>
    <row r="606" spans="1:29">
      <c r="A606" s="55"/>
      <c r="B606" s="55"/>
      <c r="C606" s="55"/>
      <c r="D606" s="55"/>
      <c r="E606" s="55"/>
      <c r="F606" s="70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</row>
    <row r="607" spans="1:29">
      <c r="A607" s="55"/>
      <c r="B607" s="55"/>
      <c r="C607" s="55"/>
      <c r="D607" s="55"/>
      <c r="E607" s="55"/>
      <c r="F607" s="70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</row>
    <row r="608" spans="1:29">
      <c r="A608" s="55"/>
      <c r="B608" s="55"/>
      <c r="C608" s="55"/>
      <c r="D608" s="55"/>
      <c r="E608" s="55"/>
      <c r="F608" s="70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</row>
    <row r="609" spans="1:29">
      <c r="A609" s="55"/>
      <c r="B609" s="55"/>
      <c r="C609" s="55"/>
      <c r="D609" s="55"/>
      <c r="E609" s="55"/>
      <c r="F609" s="70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</row>
    <row r="610" spans="1:29">
      <c r="A610" s="55"/>
      <c r="B610" s="55"/>
      <c r="C610" s="55"/>
      <c r="D610" s="55"/>
      <c r="E610" s="55"/>
      <c r="F610" s="70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</row>
    <row r="611" spans="1:29">
      <c r="A611" s="55"/>
      <c r="B611" s="55"/>
      <c r="C611" s="55"/>
      <c r="D611" s="55"/>
      <c r="E611" s="55"/>
      <c r="F611" s="70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</row>
    <row r="612" spans="1:29">
      <c r="A612" s="55"/>
      <c r="B612" s="55"/>
      <c r="C612" s="55"/>
      <c r="D612" s="55"/>
      <c r="E612" s="55"/>
      <c r="F612" s="70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</row>
    <row r="613" spans="1:29">
      <c r="A613" s="55"/>
      <c r="B613" s="55"/>
      <c r="C613" s="55"/>
      <c r="D613" s="55"/>
      <c r="E613" s="55"/>
      <c r="F613" s="70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</row>
    <row r="614" spans="1:29">
      <c r="A614" s="55"/>
      <c r="B614" s="55"/>
      <c r="C614" s="55"/>
      <c r="D614" s="55"/>
      <c r="E614" s="55"/>
      <c r="F614" s="70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</row>
    <row r="615" spans="1:29">
      <c r="A615" s="55"/>
      <c r="B615" s="55"/>
      <c r="C615" s="55"/>
      <c r="D615" s="55"/>
      <c r="E615" s="55"/>
      <c r="F615" s="70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</row>
    <row r="616" spans="1:29">
      <c r="A616" s="55"/>
      <c r="B616" s="55"/>
      <c r="C616" s="55"/>
      <c r="D616" s="55"/>
      <c r="E616" s="55"/>
      <c r="F616" s="70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</row>
    <row r="617" spans="1:29">
      <c r="A617" s="55"/>
      <c r="B617" s="55"/>
      <c r="C617" s="55"/>
      <c r="D617" s="55"/>
      <c r="E617" s="55"/>
      <c r="F617" s="70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</row>
    <row r="618" spans="1:29">
      <c r="A618" s="55"/>
      <c r="B618" s="55"/>
      <c r="C618" s="55"/>
      <c r="D618" s="55"/>
      <c r="E618" s="55"/>
      <c r="F618" s="70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</row>
    <row r="619" spans="1:29">
      <c r="A619" s="55"/>
      <c r="B619" s="55"/>
      <c r="C619" s="55"/>
      <c r="D619" s="55"/>
      <c r="E619" s="55"/>
      <c r="F619" s="70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</row>
    <row r="620" spans="1:29">
      <c r="A620" s="55"/>
      <c r="B620" s="55"/>
      <c r="C620" s="55"/>
      <c r="D620" s="55"/>
      <c r="E620" s="55"/>
      <c r="F620" s="70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</row>
    <row r="621" spans="1:29">
      <c r="A621" s="55"/>
      <c r="B621" s="55"/>
      <c r="C621" s="55"/>
      <c r="D621" s="55"/>
      <c r="E621" s="55"/>
      <c r="F621" s="70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</row>
    <row r="622" spans="1:29">
      <c r="A622" s="55"/>
      <c r="B622" s="55"/>
      <c r="C622" s="55"/>
      <c r="D622" s="55"/>
      <c r="E622" s="55"/>
      <c r="F622" s="70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</row>
    <row r="623" spans="1:29">
      <c r="A623" s="55"/>
      <c r="B623" s="55"/>
      <c r="C623" s="55"/>
      <c r="D623" s="55"/>
      <c r="E623" s="55"/>
      <c r="F623" s="70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</row>
    <row r="624" spans="1:29">
      <c r="A624" s="55"/>
      <c r="B624" s="55"/>
      <c r="C624" s="55"/>
      <c r="D624" s="55"/>
      <c r="E624" s="55"/>
      <c r="F624" s="70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</row>
    <row r="625" spans="1:29">
      <c r="A625" s="55"/>
      <c r="B625" s="55"/>
      <c r="C625" s="55"/>
      <c r="D625" s="55"/>
      <c r="E625" s="55"/>
      <c r="F625" s="70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</row>
    <row r="626" spans="1:29">
      <c r="A626" s="55"/>
      <c r="B626" s="55"/>
      <c r="C626" s="55"/>
      <c r="D626" s="55"/>
      <c r="E626" s="55"/>
      <c r="F626" s="70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</row>
    <row r="627" spans="1:29">
      <c r="A627" s="55"/>
      <c r="B627" s="55"/>
      <c r="C627" s="55"/>
      <c r="D627" s="55"/>
      <c r="E627" s="55"/>
      <c r="F627" s="70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</row>
    <row r="628" spans="1:29">
      <c r="A628" s="55"/>
      <c r="B628" s="55"/>
      <c r="C628" s="55"/>
      <c r="D628" s="55"/>
      <c r="E628" s="55"/>
      <c r="F628" s="70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</row>
    <row r="629" spans="1:29">
      <c r="A629" s="55"/>
      <c r="B629" s="55"/>
      <c r="C629" s="55"/>
      <c r="D629" s="55"/>
      <c r="E629" s="55"/>
      <c r="F629" s="70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</row>
    <row r="630" spans="1:29">
      <c r="A630" s="55"/>
      <c r="B630" s="55"/>
      <c r="C630" s="55"/>
      <c r="D630" s="55"/>
      <c r="E630" s="55"/>
      <c r="F630" s="70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</row>
    <row r="631" spans="1:29">
      <c r="A631" s="55"/>
      <c r="B631" s="55"/>
      <c r="C631" s="55"/>
      <c r="D631" s="55"/>
      <c r="E631" s="55"/>
      <c r="F631" s="70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</row>
    <row r="632" spans="1:29">
      <c r="A632" s="55"/>
      <c r="B632" s="55"/>
      <c r="C632" s="55"/>
      <c r="D632" s="55"/>
      <c r="E632" s="55"/>
      <c r="F632" s="70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</row>
    <row r="633" spans="1:29">
      <c r="A633" s="55"/>
      <c r="B633" s="55"/>
      <c r="C633" s="55"/>
      <c r="D633" s="55"/>
      <c r="E633" s="55"/>
      <c r="F633" s="70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</row>
    <row r="634" spans="1:29">
      <c r="A634" s="55"/>
      <c r="B634" s="55"/>
      <c r="C634" s="55"/>
      <c r="D634" s="55"/>
      <c r="E634" s="55"/>
      <c r="F634" s="70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</row>
    <row r="635" spans="1:29">
      <c r="A635" s="55"/>
      <c r="B635" s="55"/>
      <c r="C635" s="55"/>
      <c r="D635" s="55"/>
      <c r="E635" s="55"/>
      <c r="F635" s="70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</row>
    <row r="636" spans="1:29">
      <c r="A636" s="55"/>
      <c r="B636" s="55"/>
      <c r="C636" s="55"/>
      <c r="D636" s="55"/>
      <c r="E636" s="55"/>
      <c r="F636" s="70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</row>
    <row r="637" spans="1:29">
      <c r="A637" s="55"/>
      <c r="B637" s="55"/>
      <c r="C637" s="55"/>
      <c r="D637" s="55"/>
      <c r="E637" s="55"/>
      <c r="F637" s="70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</row>
    <row r="638" spans="1:29">
      <c r="A638" s="55"/>
      <c r="B638" s="55"/>
      <c r="C638" s="55"/>
      <c r="D638" s="55"/>
      <c r="E638" s="55"/>
      <c r="F638" s="70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</row>
    <row r="639" spans="1:29">
      <c r="A639" s="55"/>
      <c r="B639" s="55"/>
      <c r="C639" s="55"/>
      <c r="D639" s="55"/>
      <c r="E639" s="55"/>
      <c r="F639" s="70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</row>
    <row r="640" spans="1:29">
      <c r="A640" s="55"/>
      <c r="B640" s="55"/>
      <c r="C640" s="55"/>
      <c r="D640" s="55"/>
      <c r="E640" s="55"/>
      <c r="F640" s="70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</row>
    <row r="641" spans="1:29">
      <c r="A641" s="55"/>
      <c r="B641" s="55"/>
      <c r="C641" s="55"/>
      <c r="D641" s="55"/>
      <c r="E641" s="55"/>
      <c r="F641" s="70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</row>
    <row r="642" spans="1:29">
      <c r="A642" s="55"/>
      <c r="B642" s="55"/>
      <c r="C642" s="55"/>
      <c r="D642" s="55"/>
      <c r="E642" s="55"/>
      <c r="F642" s="70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</row>
    <row r="643" spans="1:29">
      <c r="A643" s="55"/>
      <c r="B643" s="55"/>
      <c r="C643" s="55"/>
      <c r="D643" s="55"/>
      <c r="E643" s="55"/>
      <c r="F643" s="70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</row>
    <row r="644" spans="1:29">
      <c r="A644" s="55"/>
      <c r="B644" s="55"/>
      <c r="C644" s="55"/>
      <c r="D644" s="55"/>
      <c r="E644" s="55"/>
      <c r="F644" s="70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</row>
    <row r="645" spans="1:29">
      <c r="A645" s="55"/>
      <c r="B645" s="55"/>
      <c r="C645" s="55"/>
      <c r="D645" s="55"/>
      <c r="E645" s="55"/>
      <c r="F645" s="70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</row>
    <row r="646" spans="1:29">
      <c r="A646" s="55"/>
      <c r="B646" s="55"/>
      <c r="C646" s="55"/>
      <c r="D646" s="55"/>
      <c r="E646" s="55"/>
      <c r="F646" s="70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</row>
    <row r="647" spans="1:29">
      <c r="A647" s="55"/>
      <c r="B647" s="55"/>
      <c r="C647" s="55"/>
      <c r="D647" s="55"/>
      <c r="E647" s="55"/>
      <c r="F647" s="70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</row>
    <row r="648" spans="1:29">
      <c r="A648" s="55"/>
      <c r="B648" s="55"/>
      <c r="C648" s="55"/>
      <c r="D648" s="55"/>
      <c r="E648" s="55"/>
      <c r="F648" s="70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</row>
    <row r="649" spans="1:29">
      <c r="A649" s="55"/>
      <c r="B649" s="55"/>
      <c r="C649" s="55"/>
      <c r="D649" s="55"/>
      <c r="E649" s="55"/>
      <c r="F649" s="70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</row>
    <row r="650" spans="1:29">
      <c r="A650" s="55"/>
      <c r="B650" s="55"/>
      <c r="C650" s="55"/>
      <c r="D650" s="55"/>
      <c r="E650" s="55"/>
      <c r="F650" s="70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</row>
    <row r="651" spans="1:29">
      <c r="A651" s="55"/>
      <c r="B651" s="55"/>
      <c r="C651" s="55"/>
      <c r="D651" s="55"/>
      <c r="E651" s="55"/>
      <c r="F651" s="70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</row>
    <row r="652" spans="1:29">
      <c r="A652" s="55"/>
      <c r="B652" s="55"/>
      <c r="C652" s="55"/>
      <c r="D652" s="55"/>
      <c r="E652" s="55"/>
      <c r="F652" s="70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</row>
    <row r="653" spans="1:29">
      <c r="A653" s="55"/>
      <c r="B653" s="55"/>
      <c r="C653" s="55"/>
      <c r="D653" s="55"/>
      <c r="E653" s="55"/>
      <c r="F653" s="70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</row>
    <row r="654" spans="1:29">
      <c r="A654" s="55"/>
      <c r="B654" s="55"/>
      <c r="C654" s="55"/>
      <c r="D654" s="55"/>
      <c r="E654" s="55"/>
      <c r="F654" s="70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</row>
    <row r="655" spans="1:29">
      <c r="A655" s="55"/>
      <c r="B655" s="55"/>
      <c r="C655" s="55"/>
      <c r="D655" s="55"/>
      <c r="E655" s="55"/>
      <c r="F655" s="70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</row>
    <row r="656" spans="1:29">
      <c r="A656" s="55"/>
      <c r="B656" s="55"/>
      <c r="C656" s="55"/>
      <c r="D656" s="55"/>
      <c r="E656" s="55"/>
      <c r="F656" s="70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</row>
    <row r="657" spans="1:29">
      <c r="A657" s="55"/>
      <c r="B657" s="55"/>
      <c r="C657" s="55"/>
      <c r="D657" s="55"/>
      <c r="E657" s="55"/>
      <c r="F657" s="70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</row>
    <row r="658" spans="1:29">
      <c r="A658" s="55"/>
      <c r="B658" s="55"/>
      <c r="C658" s="55"/>
      <c r="D658" s="55"/>
      <c r="E658" s="55"/>
      <c r="F658" s="70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</row>
    <row r="659" spans="1:29">
      <c r="A659" s="55"/>
      <c r="B659" s="55"/>
      <c r="C659" s="55"/>
      <c r="D659" s="55"/>
      <c r="E659" s="55"/>
      <c r="F659" s="70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</row>
    <row r="660" spans="1:29">
      <c r="A660" s="55"/>
      <c r="B660" s="55"/>
      <c r="C660" s="55"/>
      <c r="D660" s="55"/>
      <c r="E660" s="55"/>
      <c r="F660" s="70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</row>
    <row r="661" spans="1:29">
      <c r="A661" s="55"/>
      <c r="B661" s="55"/>
      <c r="C661" s="55"/>
      <c r="D661" s="55"/>
      <c r="E661" s="55"/>
      <c r="F661" s="70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</row>
    <row r="662" spans="1:29">
      <c r="A662" s="55"/>
      <c r="B662" s="55"/>
      <c r="C662" s="55"/>
      <c r="D662" s="55"/>
      <c r="E662" s="55"/>
      <c r="F662" s="70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</row>
    <row r="663" spans="1:29">
      <c r="A663" s="55"/>
      <c r="B663" s="55"/>
      <c r="C663" s="55"/>
      <c r="D663" s="55"/>
      <c r="E663" s="55"/>
      <c r="F663" s="70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</row>
    <row r="664" spans="1:29">
      <c r="A664" s="55"/>
      <c r="B664" s="55"/>
      <c r="C664" s="55"/>
      <c r="D664" s="55"/>
      <c r="E664" s="55"/>
      <c r="F664" s="70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</row>
    <row r="665" spans="1:29">
      <c r="A665" s="55"/>
      <c r="B665" s="55"/>
      <c r="C665" s="55"/>
      <c r="D665" s="55"/>
      <c r="E665" s="55"/>
      <c r="F665" s="70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</row>
    <row r="666" spans="1:29">
      <c r="A666" s="55"/>
      <c r="B666" s="55"/>
      <c r="C666" s="55"/>
      <c r="D666" s="55"/>
      <c r="E666" s="55"/>
      <c r="F666" s="70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</row>
    <row r="667" spans="1:29">
      <c r="A667" s="55"/>
      <c r="B667" s="55"/>
      <c r="C667" s="55"/>
      <c r="D667" s="55"/>
      <c r="E667" s="55"/>
      <c r="F667" s="70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</row>
    <row r="668" spans="1:29">
      <c r="A668" s="55"/>
      <c r="B668" s="55"/>
      <c r="C668" s="55"/>
      <c r="D668" s="55"/>
      <c r="E668" s="55"/>
      <c r="F668" s="70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</row>
    <row r="669" spans="1:29">
      <c r="A669" s="55"/>
      <c r="B669" s="55"/>
      <c r="C669" s="55"/>
      <c r="D669" s="55"/>
      <c r="E669" s="55"/>
      <c r="F669" s="70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</row>
    <row r="670" spans="1:29">
      <c r="A670" s="55"/>
      <c r="B670" s="55"/>
      <c r="C670" s="55"/>
      <c r="D670" s="55"/>
      <c r="E670" s="55"/>
      <c r="F670" s="70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</row>
    <row r="671" spans="1:29">
      <c r="A671" s="55"/>
      <c r="B671" s="55"/>
      <c r="C671" s="55"/>
      <c r="D671" s="55"/>
      <c r="E671" s="55"/>
      <c r="F671" s="70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</row>
    <row r="672" spans="1:29">
      <c r="A672" s="55"/>
      <c r="B672" s="55"/>
      <c r="C672" s="55"/>
      <c r="D672" s="55"/>
      <c r="E672" s="55"/>
      <c r="F672" s="70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</row>
    <row r="673" spans="1:29">
      <c r="A673" s="55"/>
      <c r="B673" s="55"/>
      <c r="C673" s="55"/>
      <c r="D673" s="55"/>
      <c r="E673" s="55"/>
      <c r="F673" s="70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</row>
    <row r="674" spans="1:29">
      <c r="A674" s="55"/>
      <c r="B674" s="55"/>
      <c r="C674" s="55"/>
      <c r="D674" s="55"/>
      <c r="E674" s="55"/>
      <c r="F674" s="70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</row>
    <row r="675" spans="1:29">
      <c r="A675" s="55"/>
      <c r="B675" s="55"/>
      <c r="C675" s="55"/>
      <c r="D675" s="55"/>
      <c r="E675" s="55"/>
      <c r="F675" s="70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</row>
    <row r="676" spans="1:29">
      <c r="A676" s="55"/>
      <c r="B676" s="55"/>
      <c r="C676" s="55"/>
      <c r="D676" s="55"/>
      <c r="E676" s="55"/>
      <c r="F676" s="70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</row>
    <row r="677" spans="1:29">
      <c r="A677" s="55"/>
      <c r="B677" s="55"/>
      <c r="C677" s="55"/>
      <c r="D677" s="55"/>
      <c r="E677" s="55"/>
      <c r="F677" s="70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</row>
    <row r="678" spans="1:29">
      <c r="A678" s="55"/>
      <c r="B678" s="55"/>
      <c r="C678" s="55"/>
      <c r="D678" s="55"/>
      <c r="E678" s="55"/>
      <c r="F678" s="70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</row>
    <row r="679" spans="1:29">
      <c r="A679" s="55"/>
      <c r="B679" s="55"/>
      <c r="C679" s="55"/>
      <c r="D679" s="55"/>
      <c r="E679" s="55"/>
      <c r="F679" s="70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</row>
    <row r="680" spans="1:29">
      <c r="A680" s="55"/>
      <c r="B680" s="55"/>
      <c r="C680" s="55"/>
      <c r="D680" s="55"/>
      <c r="E680" s="55"/>
      <c r="F680" s="70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</row>
    <row r="681" spans="1:29">
      <c r="A681" s="55"/>
      <c r="B681" s="55"/>
      <c r="C681" s="55"/>
      <c r="D681" s="55"/>
      <c r="E681" s="55"/>
      <c r="F681" s="70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</row>
    <row r="682" spans="1:29">
      <c r="A682" s="55"/>
      <c r="B682" s="55"/>
      <c r="C682" s="55"/>
      <c r="D682" s="55"/>
      <c r="E682" s="55"/>
      <c r="F682" s="70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</row>
    <row r="683" spans="1:29">
      <c r="A683" s="55"/>
      <c r="B683" s="55"/>
      <c r="C683" s="55"/>
      <c r="D683" s="55"/>
      <c r="E683" s="55"/>
      <c r="F683" s="70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</row>
    <row r="684" spans="1:29">
      <c r="A684" s="55"/>
      <c r="B684" s="55"/>
      <c r="C684" s="55"/>
      <c r="D684" s="55"/>
      <c r="E684" s="55"/>
      <c r="F684" s="70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</row>
    <row r="685" spans="1:29">
      <c r="A685" s="55"/>
      <c r="B685" s="55"/>
      <c r="C685" s="55"/>
      <c r="D685" s="55"/>
      <c r="E685" s="55"/>
      <c r="F685" s="70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</row>
    <row r="686" spans="1:29">
      <c r="A686" s="55"/>
      <c r="B686" s="55"/>
      <c r="C686" s="55"/>
      <c r="D686" s="55"/>
      <c r="E686" s="55"/>
      <c r="F686" s="70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</row>
    <row r="687" spans="1:29">
      <c r="A687" s="55"/>
      <c r="B687" s="55"/>
      <c r="C687" s="55"/>
      <c r="D687" s="55"/>
      <c r="E687" s="55"/>
      <c r="F687" s="70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</row>
    <row r="688" spans="1:29">
      <c r="A688" s="55"/>
      <c r="B688" s="55"/>
      <c r="C688" s="55"/>
      <c r="D688" s="55"/>
      <c r="E688" s="55"/>
      <c r="F688" s="70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</row>
    <row r="689" spans="1:29">
      <c r="A689" s="55"/>
      <c r="B689" s="55"/>
      <c r="C689" s="55"/>
      <c r="D689" s="55"/>
      <c r="E689" s="55"/>
      <c r="F689" s="70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</row>
    <row r="690" spans="1:29">
      <c r="A690" s="55"/>
      <c r="B690" s="55"/>
      <c r="C690" s="55"/>
      <c r="D690" s="55"/>
      <c r="E690" s="55"/>
      <c r="F690" s="70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</row>
    <row r="691" spans="1:29">
      <c r="A691" s="55"/>
      <c r="B691" s="55"/>
      <c r="C691" s="55"/>
      <c r="D691" s="55"/>
      <c r="E691" s="55"/>
      <c r="F691" s="70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</row>
    <row r="692" spans="1:29">
      <c r="A692" s="55"/>
      <c r="B692" s="55"/>
      <c r="C692" s="55"/>
      <c r="D692" s="55"/>
      <c r="E692" s="55"/>
      <c r="F692" s="70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</row>
    <row r="693" spans="1:29">
      <c r="A693" s="55"/>
      <c r="B693" s="55"/>
      <c r="C693" s="55"/>
      <c r="D693" s="55"/>
      <c r="E693" s="55"/>
      <c r="F693" s="70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</row>
    <row r="694" spans="1:29">
      <c r="A694" s="55"/>
      <c r="B694" s="55"/>
      <c r="C694" s="55"/>
      <c r="D694" s="55"/>
      <c r="E694" s="55"/>
      <c r="F694" s="70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</row>
    <row r="695" spans="1:29">
      <c r="A695" s="55"/>
      <c r="B695" s="55"/>
      <c r="C695" s="55"/>
      <c r="D695" s="55"/>
      <c r="E695" s="55"/>
      <c r="F695" s="70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</row>
    <row r="696" spans="1:29">
      <c r="A696" s="55"/>
      <c r="B696" s="55"/>
      <c r="C696" s="55"/>
      <c r="D696" s="55"/>
      <c r="E696" s="55"/>
      <c r="F696" s="70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</row>
    <row r="697" spans="1:29">
      <c r="A697" s="55"/>
      <c r="B697" s="55"/>
      <c r="C697" s="55"/>
      <c r="D697" s="55"/>
      <c r="E697" s="55"/>
      <c r="F697" s="70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</row>
    <row r="698" spans="1:29">
      <c r="A698" s="55"/>
      <c r="B698" s="55"/>
      <c r="C698" s="55"/>
      <c r="D698" s="55"/>
      <c r="E698" s="55"/>
      <c r="F698" s="70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</row>
    <row r="699" spans="1:29">
      <c r="A699" s="55"/>
      <c r="B699" s="55"/>
      <c r="C699" s="55"/>
      <c r="D699" s="55"/>
      <c r="E699" s="55"/>
      <c r="F699" s="70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</row>
    <row r="700" spans="1:29">
      <c r="A700" s="55"/>
      <c r="B700" s="55"/>
      <c r="C700" s="55"/>
      <c r="D700" s="55"/>
      <c r="E700" s="55"/>
      <c r="F700" s="70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</row>
    <row r="701" spans="1:29">
      <c r="A701" s="55"/>
      <c r="B701" s="55"/>
      <c r="C701" s="55"/>
      <c r="D701" s="55"/>
      <c r="E701" s="55"/>
      <c r="F701" s="70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</row>
    <row r="702" spans="1:29">
      <c r="A702" s="55"/>
      <c r="B702" s="55"/>
      <c r="C702" s="55"/>
      <c r="D702" s="55"/>
      <c r="E702" s="55"/>
      <c r="F702" s="70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</row>
    <row r="703" spans="1:29">
      <c r="A703" s="55"/>
      <c r="B703" s="55"/>
      <c r="C703" s="55"/>
      <c r="D703" s="55"/>
      <c r="E703" s="55"/>
      <c r="F703" s="70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</row>
    <row r="704" spans="1:29">
      <c r="A704" s="55"/>
      <c r="B704" s="55"/>
      <c r="C704" s="55"/>
      <c r="D704" s="55"/>
      <c r="E704" s="55"/>
      <c r="F704" s="70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</row>
    <row r="705" spans="1:29">
      <c r="A705" s="55"/>
      <c r="B705" s="55"/>
      <c r="C705" s="55"/>
      <c r="D705" s="55"/>
      <c r="E705" s="55"/>
      <c r="F705" s="70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</row>
    <row r="706" spans="1:29">
      <c r="A706" s="55"/>
      <c r="B706" s="55"/>
      <c r="C706" s="55"/>
      <c r="D706" s="55"/>
      <c r="E706" s="55"/>
      <c r="F706" s="70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</row>
    <row r="707" spans="1:29">
      <c r="A707" s="55"/>
      <c r="B707" s="55"/>
      <c r="C707" s="55"/>
      <c r="D707" s="55"/>
      <c r="E707" s="55"/>
      <c r="F707" s="70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</row>
    <row r="708" spans="1:29">
      <c r="A708" s="55"/>
      <c r="B708" s="55"/>
      <c r="C708" s="55"/>
      <c r="D708" s="55"/>
      <c r="E708" s="55"/>
      <c r="F708" s="70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</row>
    <row r="709" spans="1:29">
      <c r="A709" s="55"/>
      <c r="B709" s="55"/>
      <c r="C709" s="55"/>
      <c r="D709" s="55"/>
      <c r="E709" s="55"/>
      <c r="F709" s="70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</row>
    <row r="710" spans="1:29">
      <c r="A710" s="55"/>
      <c r="B710" s="55"/>
      <c r="C710" s="55"/>
      <c r="D710" s="55"/>
      <c r="E710" s="55"/>
      <c r="F710" s="70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</row>
    <row r="711" spans="1:29">
      <c r="A711" s="55"/>
      <c r="B711" s="55"/>
      <c r="C711" s="55"/>
      <c r="D711" s="55"/>
      <c r="E711" s="55"/>
      <c r="F711" s="70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</row>
    <row r="712" spans="1:29">
      <c r="A712" s="55"/>
      <c r="B712" s="55"/>
      <c r="C712" s="55"/>
      <c r="D712" s="55"/>
      <c r="E712" s="55"/>
      <c r="F712" s="70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</row>
    <row r="713" spans="1:29">
      <c r="A713" s="55"/>
      <c r="B713" s="55"/>
      <c r="C713" s="55"/>
      <c r="D713" s="55"/>
      <c r="E713" s="55"/>
      <c r="F713" s="70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</row>
    <row r="714" spans="1:29">
      <c r="A714" s="55"/>
      <c r="B714" s="55"/>
      <c r="C714" s="55"/>
      <c r="D714" s="55"/>
      <c r="E714" s="55"/>
      <c r="F714" s="70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</row>
    <row r="715" spans="1:29">
      <c r="A715" s="55"/>
      <c r="B715" s="55"/>
      <c r="C715" s="55"/>
      <c r="D715" s="55"/>
      <c r="E715" s="55"/>
      <c r="F715" s="70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</row>
    <row r="716" spans="1:29">
      <c r="A716" s="55"/>
      <c r="B716" s="55"/>
      <c r="C716" s="55"/>
      <c r="D716" s="55"/>
      <c r="E716" s="55"/>
      <c r="F716" s="70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</row>
    <row r="717" spans="1:29">
      <c r="A717" s="55"/>
      <c r="B717" s="55"/>
      <c r="C717" s="55"/>
      <c r="D717" s="55"/>
      <c r="E717" s="55"/>
      <c r="F717" s="70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</row>
    <row r="718" spans="1:29">
      <c r="A718" s="55"/>
      <c r="B718" s="55"/>
      <c r="C718" s="55"/>
      <c r="D718" s="55"/>
      <c r="E718" s="55"/>
      <c r="F718" s="70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</row>
    <row r="719" spans="1:29">
      <c r="A719" s="55"/>
      <c r="B719" s="55"/>
      <c r="C719" s="55"/>
      <c r="D719" s="55"/>
      <c r="E719" s="55"/>
      <c r="F719" s="70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</row>
    <row r="720" spans="1:29">
      <c r="A720" s="55"/>
      <c r="B720" s="55"/>
      <c r="C720" s="55"/>
      <c r="D720" s="55"/>
      <c r="E720" s="55"/>
      <c r="F720" s="70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</row>
    <row r="721" spans="1:29">
      <c r="A721" s="55"/>
      <c r="B721" s="55"/>
      <c r="C721" s="55"/>
      <c r="D721" s="55"/>
      <c r="E721" s="55"/>
      <c r="F721" s="70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</row>
    <row r="722" spans="1:29">
      <c r="A722" s="55"/>
      <c r="B722" s="55"/>
      <c r="C722" s="55"/>
      <c r="D722" s="55"/>
      <c r="E722" s="55"/>
      <c r="F722" s="70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</row>
    <row r="723" spans="1:29">
      <c r="A723" s="55"/>
      <c r="B723" s="55"/>
      <c r="C723" s="55"/>
      <c r="D723" s="55"/>
      <c r="E723" s="55"/>
      <c r="F723" s="70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</row>
    <row r="724" spans="1:29">
      <c r="A724" s="55"/>
      <c r="B724" s="55"/>
      <c r="C724" s="55"/>
      <c r="D724" s="55"/>
      <c r="E724" s="55"/>
      <c r="F724" s="70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</row>
    <row r="725" spans="1:29">
      <c r="A725" s="55"/>
      <c r="B725" s="55"/>
      <c r="C725" s="55"/>
      <c r="D725" s="55"/>
      <c r="E725" s="55"/>
      <c r="F725" s="70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</row>
    <row r="726" spans="1:29">
      <c r="A726" s="55"/>
      <c r="B726" s="55"/>
      <c r="C726" s="55"/>
      <c r="D726" s="55"/>
      <c r="E726" s="55"/>
      <c r="F726" s="70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</row>
    <row r="727" spans="1:29">
      <c r="A727" s="55"/>
      <c r="B727" s="55"/>
      <c r="C727" s="55"/>
      <c r="D727" s="55"/>
      <c r="E727" s="55"/>
      <c r="F727" s="70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</row>
    <row r="728" spans="1:29">
      <c r="A728" s="55"/>
      <c r="B728" s="55"/>
      <c r="C728" s="55"/>
      <c r="D728" s="55"/>
      <c r="E728" s="55"/>
      <c r="F728" s="70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</row>
    <row r="729" spans="1:29">
      <c r="A729" s="55"/>
      <c r="B729" s="55"/>
      <c r="C729" s="55"/>
      <c r="D729" s="55"/>
      <c r="E729" s="55"/>
      <c r="F729" s="70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</row>
    <row r="730" spans="1:29">
      <c r="A730" s="55"/>
      <c r="B730" s="55"/>
      <c r="C730" s="55"/>
      <c r="D730" s="55"/>
      <c r="E730" s="55"/>
      <c r="F730" s="70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</row>
    <row r="731" spans="1:29">
      <c r="A731" s="55"/>
      <c r="B731" s="55"/>
      <c r="C731" s="55"/>
      <c r="D731" s="55"/>
      <c r="E731" s="55"/>
      <c r="F731" s="70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</row>
    <row r="732" spans="1:29">
      <c r="A732" s="55"/>
      <c r="B732" s="55"/>
      <c r="C732" s="55"/>
      <c r="D732" s="55"/>
      <c r="E732" s="55"/>
      <c r="F732" s="70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</row>
    <row r="733" spans="1:29">
      <c r="A733" s="55"/>
      <c r="B733" s="55"/>
      <c r="C733" s="55"/>
      <c r="D733" s="55"/>
      <c r="E733" s="55"/>
      <c r="F733" s="70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</row>
    <row r="734" spans="1:29">
      <c r="A734" s="55"/>
      <c r="B734" s="55"/>
      <c r="C734" s="55"/>
      <c r="D734" s="55"/>
      <c r="E734" s="55"/>
      <c r="F734" s="70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</row>
    <row r="735" spans="1:29">
      <c r="A735" s="55"/>
      <c r="B735" s="55"/>
      <c r="C735" s="55"/>
      <c r="D735" s="55"/>
      <c r="E735" s="55"/>
      <c r="F735" s="70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</row>
    <row r="736" spans="1:29">
      <c r="A736" s="55"/>
      <c r="B736" s="55"/>
      <c r="C736" s="55"/>
      <c r="D736" s="55"/>
      <c r="E736" s="55"/>
      <c r="F736" s="70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</row>
    <row r="737" spans="1:29">
      <c r="A737" s="55"/>
      <c r="B737" s="55"/>
      <c r="C737" s="55"/>
      <c r="D737" s="55"/>
      <c r="E737" s="55"/>
      <c r="F737" s="70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</row>
    <row r="738" spans="1:29">
      <c r="A738" s="55"/>
      <c r="B738" s="55"/>
      <c r="C738" s="55"/>
      <c r="D738" s="55"/>
      <c r="E738" s="55"/>
      <c r="F738" s="70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</row>
    <row r="739" spans="1:29">
      <c r="A739" s="55"/>
      <c r="B739" s="55"/>
      <c r="C739" s="55"/>
      <c r="D739" s="55"/>
      <c r="E739" s="55"/>
      <c r="F739" s="70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</row>
    <row r="740" spans="1:29">
      <c r="A740" s="55"/>
      <c r="B740" s="55"/>
      <c r="C740" s="55"/>
      <c r="D740" s="55"/>
      <c r="E740" s="55"/>
      <c r="F740" s="70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</row>
    <row r="741" spans="1:29">
      <c r="A741" s="55"/>
      <c r="B741" s="55"/>
      <c r="C741" s="55"/>
      <c r="D741" s="55"/>
      <c r="E741" s="55"/>
      <c r="F741" s="70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</row>
    <row r="742" spans="1:29">
      <c r="A742" s="55"/>
      <c r="B742" s="55"/>
      <c r="C742" s="55"/>
      <c r="D742" s="55"/>
      <c r="E742" s="55"/>
      <c r="F742" s="70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</row>
    <row r="743" spans="1:29">
      <c r="A743" s="55"/>
      <c r="B743" s="55"/>
      <c r="C743" s="55"/>
      <c r="D743" s="55"/>
      <c r="E743" s="55"/>
      <c r="F743" s="70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</row>
    <row r="744" spans="1:29">
      <c r="A744" s="55"/>
      <c r="B744" s="55"/>
      <c r="C744" s="55"/>
      <c r="D744" s="55"/>
      <c r="E744" s="55"/>
      <c r="F744" s="70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</row>
    <row r="745" spans="1:29">
      <c r="A745" s="55"/>
      <c r="B745" s="55"/>
      <c r="C745" s="55"/>
      <c r="D745" s="55"/>
      <c r="E745" s="55"/>
      <c r="F745" s="70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</row>
    <row r="746" spans="1:29">
      <c r="A746" s="55"/>
      <c r="B746" s="55"/>
      <c r="C746" s="55"/>
      <c r="D746" s="55"/>
      <c r="E746" s="55"/>
      <c r="F746" s="70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</row>
    <row r="747" spans="1:29">
      <c r="A747" s="55"/>
      <c r="B747" s="55"/>
      <c r="C747" s="55"/>
      <c r="D747" s="55"/>
      <c r="E747" s="55"/>
      <c r="F747" s="70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</row>
    <row r="748" spans="1:29">
      <c r="A748" s="55"/>
      <c r="B748" s="55"/>
      <c r="C748" s="55"/>
      <c r="D748" s="55"/>
      <c r="E748" s="55"/>
      <c r="F748" s="70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</row>
    <row r="749" spans="1:29">
      <c r="A749" s="55"/>
      <c r="B749" s="55"/>
      <c r="C749" s="55"/>
      <c r="D749" s="55"/>
      <c r="E749" s="55"/>
      <c r="F749" s="70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</row>
    <row r="750" spans="1:29">
      <c r="A750" s="55"/>
      <c r="B750" s="55"/>
      <c r="C750" s="55"/>
      <c r="D750" s="55"/>
      <c r="E750" s="55"/>
      <c r="F750" s="70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</row>
    <row r="751" spans="1:29">
      <c r="A751" s="55"/>
      <c r="B751" s="55"/>
      <c r="C751" s="55"/>
      <c r="D751" s="55"/>
      <c r="E751" s="55"/>
      <c r="F751" s="70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</row>
    <row r="752" spans="1:29">
      <c r="A752" s="55"/>
      <c r="B752" s="55"/>
      <c r="C752" s="55"/>
      <c r="D752" s="55"/>
      <c r="E752" s="55"/>
      <c r="F752" s="70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</row>
    <row r="753" spans="1:29">
      <c r="A753" s="55"/>
      <c r="B753" s="55"/>
      <c r="C753" s="55"/>
      <c r="D753" s="55"/>
      <c r="E753" s="55"/>
      <c r="F753" s="70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</row>
    <row r="754" spans="1:29">
      <c r="A754" s="55"/>
      <c r="B754" s="55"/>
      <c r="C754" s="55"/>
      <c r="D754" s="55"/>
      <c r="E754" s="55"/>
      <c r="F754" s="70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</row>
    <row r="755" spans="1:29">
      <c r="A755" s="55"/>
      <c r="B755" s="55"/>
      <c r="C755" s="55"/>
      <c r="D755" s="55"/>
      <c r="E755" s="55"/>
      <c r="F755" s="70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</row>
    <row r="756" spans="1:29">
      <c r="A756" s="55"/>
      <c r="B756" s="55"/>
      <c r="C756" s="55"/>
      <c r="D756" s="55"/>
      <c r="E756" s="55"/>
      <c r="F756" s="70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</row>
    <row r="757" spans="1:29">
      <c r="A757" s="55"/>
      <c r="B757" s="55"/>
      <c r="C757" s="55"/>
      <c r="D757" s="55"/>
      <c r="E757" s="55"/>
      <c r="F757" s="70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</row>
    <row r="758" spans="1:29">
      <c r="A758" s="55"/>
      <c r="B758" s="55"/>
      <c r="C758" s="55"/>
      <c r="D758" s="55"/>
      <c r="E758" s="55"/>
      <c r="F758" s="70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</row>
    <row r="759" spans="1:29">
      <c r="A759" s="55"/>
      <c r="B759" s="55"/>
      <c r="C759" s="55"/>
      <c r="D759" s="55"/>
      <c r="E759" s="55"/>
      <c r="F759" s="70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</row>
    <row r="760" spans="1:29">
      <c r="A760" s="55"/>
      <c r="B760" s="55"/>
      <c r="C760" s="55"/>
      <c r="D760" s="55"/>
      <c r="E760" s="55"/>
      <c r="F760" s="70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</row>
    <row r="761" spans="1:29">
      <c r="A761" s="55"/>
      <c r="B761" s="55"/>
      <c r="C761" s="55"/>
      <c r="D761" s="55"/>
      <c r="E761" s="55"/>
      <c r="F761" s="70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</row>
    <row r="762" spans="1:29">
      <c r="A762" s="55"/>
      <c r="B762" s="55"/>
      <c r="C762" s="55"/>
      <c r="D762" s="55"/>
      <c r="E762" s="55"/>
      <c r="F762" s="70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</row>
    <row r="763" spans="1:29">
      <c r="A763" s="55"/>
      <c r="B763" s="55"/>
      <c r="C763" s="55"/>
      <c r="D763" s="55"/>
      <c r="E763" s="55"/>
      <c r="F763" s="70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</row>
    <row r="764" spans="1:29">
      <c r="A764" s="55"/>
      <c r="B764" s="55"/>
      <c r="C764" s="55"/>
      <c r="D764" s="55"/>
      <c r="E764" s="55"/>
      <c r="F764" s="70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</row>
    <row r="765" spans="1:29">
      <c r="A765" s="55"/>
      <c r="B765" s="55"/>
      <c r="C765" s="55"/>
      <c r="D765" s="55"/>
      <c r="E765" s="55"/>
      <c r="F765" s="70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</row>
    <row r="766" spans="1:29">
      <c r="A766" s="55"/>
      <c r="B766" s="55"/>
      <c r="C766" s="55"/>
      <c r="D766" s="55"/>
      <c r="E766" s="55"/>
      <c r="F766" s="70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</row>
    <row r="767" spans="1:29">
      <c r="A767" s="55"/>
      <c r="B767" s="55"/>
      <c r="C767" s="55"/>
      <c r="D767" s="55"/>
      <c r="E767" s="55"/>
      <c r="F767" s="70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</row>
    <row r="768" spans="1:29">
      <c r="A768" s="55"/>
      <c r="B768" s="55"/>
      <c r="C768" s="55"/>
      <c r="D768" s="55"/>
      <c r="E768" s="55"/>
      <c r="F768" s="70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</row>
    <row r="769" spans="1:29">
      <c r="A769" s="55"/>
      <c r="B769" s="55"/>
      <c r="C769" s="55"/>
      <c r="D769" s="55"/>
      <c r="E769" s="55"/>
      <c r="F769" s="70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</row>
    <row r="770" spans="1:29">
      <c r="A770" s="55"/>
      <c r="B770" s="55"/>
      <c r="C770" s="55"/>
      <c r="D770" s="55"/>
      <c r="E770" s="55"/>
      <c r="F770" s="70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</row>
    <row r="771" spans="1:29">
      <c r="A771" s="55"/>
      <c r="B771" s="55"/>
      <c r="C771" s="55"/>
      <c r="D771" s="55"/>
      <c r="E771" s="55"/>
      <c r="F771" s="70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</row>
    <row r="772" spans="1:29">
      <c r="A772" s="55"/>
      <c r="B772" s="55"/>
      <c r="C772" s="55"/>
      <c r="D772" s="55"/>
      <c r="E772" s="55"/>
      <c r="F772" s="70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</row>
    <row r="773" spans="1:29">
      <c r="A773" s="55"/>
      <c r="B773" s="55"/>
      <c r="C773" s="55"/>
      <c r="D773" s="55"/>
      <c r="E773" s="55"/>
      <c r="F773" s="70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</row>
    <row r="774" spans="1:29">
      <c r="A774" s="55"/>
      <c r="B774" s="55"/>
      <c r="C774" s="55"/>
      <c r="D774" s="55"/>
      <c r="E774" s="55"/>
      <c r="F774" s="70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</row>
    <row r="775" spans="1:29">
      <c r="A775" s="55"/>
      <c r="B775" s="55"/>
      <c r="C775" s="55"/>
      <c r="D775" s="55"/>
      <c r="E775" s="55"/>
      <c r="F775" s="70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</row>
    <row r="776" spans="1:29">
      <c r="A776" s="55"/>
      <c r="B776" s="55"/>
      <c r="C776" s="55"/>
      <c r="D776" s="55"/>
      <c r="E776" s="55"/>
      <c r="F776" s="70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</row>
    <row r="777" spans="1:29">
      <c r="A777" s="55"/>
      <c r="B777" s="55"/>
      <c r="C777" s="55"/>
      <c r="D777" s="55"/>
      <c r="E777" s="55"/>
      <c r="F777" s="70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</row>
    <row r="778" spans="1:29">
      <c r="A778" s="55"/>
      <c r="B778" s="55"/>
      <c r="C778" s="55"/>
      <c r="D778" s="55"/>
      <c r="E778" s="55"/>
      <c r="F778" s="70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</row>
    <row r="779" spans="1:29">
      <c r="A779" s="55"/>
      <c r="B779" s="55"/>
      <c r="C779" s="55"/>
      <c r="D779" s="55"/>
      <c r="E779" s="55"/>
      <c r="F779" s="70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</row>
    <row r="780" spans="1:29">
      <c r="A780" s="55"/>
      <c r="B780" s="55"/>
      <c r="C780" s="55"/>
      <c r="D780" s="55"/>
      <c r="E780" s="55"/>
      <c r="F780" s="70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</row>
    <row r="781" spans="1:29">
      <c r="A781" s="55"/>
      <c r="B781" s="55"/>
      <c r="C781" s="55"/>
      <c r="D781" s="55"/>
      <c r="E781" s="55"/>
      <c r="F781" s="70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</row>
    <row r="782" spans="1:29">
      <c r="A782" s="55"/>
      <c r="B782" s="55"/>
      <c r="C782" s="55"/>
      <c r="D782" s="55"/>
      <c r="E782" s="55"/>
      <c r="F782" s="70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</row>
    <row r="783" spans="1:29">
      <c r="A783" s="55"/>
      <c r="B783" s="55"/>
      <c r="C783" s="55"/>
      <c r="D783" s="55"/>
      <c r="E783" s="55"/>
      <c r="F783" s="70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</row>
    <row r="784" spans="1:29">
      <c r="A784" s="55"/>
      <c r="B784" s="55"/>
      <c r="C784" s="55"/>
      <c r="D784" s="55"/>
      <c r="E784" s="55"/>
      <c r="F784" s="70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</row>
    <row r="785" spans="1:29">
      <c r="A785" s="55"/>
      <c r="B785" s="55"/>
      <c r="C785" s="55"/>
      <c r="D785" s="55"/>
      <c r="E785" s="55"/>
      <c r="F785" s="70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</row>
    <row r="786" spans="1:29">
      <c r="A786" s="55"/>
      <c r="B786" s="55"/>
      <c r="C786" s="55"/>
      <c r="D786" s="55"/>
      <c r="E786" s="55"/>
      <c r="F786" s="70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</row>
    <row r="787" spans="1:29">
      <c r="A787" s="55"/>
      <c r="B787" s="55"/>
      <c r="C787" s="55"/>
      <c r="D787" s="55"/>
      <c r="E787" s="55"/>
      <c r="F787" s="70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</row>
    <row r="788" spans="1:29">
      <c r="A788" s="55"/>
      <c r="B788" s="55"/>
      <c r="C788" s="55"/>
      <c r="D788" s="55"/>
      <c r="E788" s="55"/>
      <c r="F788" s="70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</row>
    <row r="789" spans="1:29">
      <c r="A789" s="55"/>
      <c r="B789" s="55"/>
      <c r="C789" s="55"/>
      <c r="D789" s="55"/>
      <c r="E789" s="55"/>
      <c r="F789" s="70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</row>
    <row r="790" spans="1:29">
      <c r="A790" s="55"/>
      <c r="B790" s="55"/>
      <c r="C790" s="55"/>
      <c r="D790" s="55"/>
      <c r="E790" s="55"/>
      <c r="F790" s="70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</row>
    <row r="791" spans="1:29">
      <c r="A791" s="55"/>
      <c r="B791" s="55"/>
      <c r="C791" s="55"/>
      <c r="D791" s="55"/>
      <c r="E791" s="55"/>
      <c r="F791" s="70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</row>
    <row r="792" spans="1:29">
      <c r="A792" s="55"/>
      <c r="B792" s="55"/>
      <c r="C792" s="55"/>
      <c r="D792" s="55"/>
      <c r="E792" s="55"/>
      <c r="F792" s="70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</row>
    <row r="793" spans="1:29">
      <c r="A793" s="55"/>
      <c r="B793" s="55"/>
      <c r="C793" s="55"/>
      <c r="D793" s="55"/>
      <c r="E793" s="55"/>
      <c r="F793" s="70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</row>
    <row r="794" spans="1:29">
      <c r="A794" s="55"/>
      <c r="B794" s="55"/>
      <c r="C794" s="55"/>
      <c r="D794" s="55"/>
      <c r="E794" s="55"/>
      <c r="F794" s="70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</row>
    <row r="795" spans="1:29">
      <c r="A795" s="55"/>
      <c r="B795" s="55"/>
      <c r="C795" s="55"/>
      <c r="D795" s="55"/>
      <c r="E795" s="55"/>
      <c r="F795" s="70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</row>
    <row r="796" spans="1:29">
      <c r="A796" s="55"/>
      <c r="B796" s="55"/>
      <c r="C796" s="55"/>
      <c r="D796" s="55"/>
      <c r="E796" s="55"/>
      <c r="F796" s="70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</row>
    <row r="797" spans="1:29">
      <c r="A797" s="55"/>
      <c r="B797" s="55"/>
      <c r="C797" s="55"/>
      <c r="D797" s="55"/>
      <c r="E797" s="55"/>
      <c r="F797" s="70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</row>
    <row r="798" spans="1:29">
      <c r="A798" s="55"/>
      <c r="B798" s="55"/>
      <c r="C798" s="55"/>
      <c r="D798" s="55"/>
      <c r="E798" s="55"/>
      <c r="F798" s="70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</row>
    <row r="799" spans="1:29">
      <c r="A799" s="55"/>
      <c r="B799" s="55"/>
      <c r="C799" s="55"/>
      <c r="D799" s="55"/>
      <c r="E799" s="55"/>
      <c r="F799" s="70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</row>
    <row r="800" spans="1:29">
      <c r="A800" s="55"/>
      <c r="B800" s="55"/>
      <c r="C800" s="55"/>
      <c r="D800" s="55"/>
      <c r="E800" s="55"/>
      <c r="F800" s="70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</row>
    <row r="801" spans="1:29">
      <c r="A801" s="55"/>
      <c r="B801" s="55"/>
      <c r="C801" s="55"/>
      <c r="D801" s="55"/>
      <c r="E801" s="55"/>
      <c r="F801" s="70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</row>
    <row r="802" spans="1:29">
      <c r="A802" s="55"/>
      <c r="B802" s="55"/>
      <c r="C802" s="55"/>
      <c r="D802" s="55"/>
      <c r="E802" s="55"/>
      <c r="F802" s="70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</row>
    <row r="803" spans="1:29">
      <c r="A803" s="55"/>
      <c r="B803" s="55"/>
      <c r="C803" s="55"/>
      <c r="D803" s="55"/>
      <c r="E803" s="55"/>
      <c r="F803" s="70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</row>
    <row r="804" spans="1:29">
      <c r="A804" s="55"/>
      <c r="B804" s="55"/>
      <c r="C804" s="55"/>
      <c r="D804" s="55"/>
      <c r="E804" s="55"/>
      <c r="F804" s="70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</row>
    <row r="805" spans="1:29">
      <c r="A805" s="55"/>
      <c r="B805" s="55"/>
      <c r="C805" s="55"/>
      <c r="D805" s="55"/>
      <c r="E805" s="55"/>
      <c r="F805" s="70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</row>
    <row r="806" spans="1:29">
      <c r="A806" s="55"/>
      <c r="B806" s="55"/>
      <c r="C806" s="55"/>
      <c r="D806" s="55"/>
      <c r="E806" s="55"/>
      <c r="F806" s="70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</row>
    <row r="807" spans="1:29">
      <c r="A807" s="55"/>
      <c r="B807" s="55"/>
      <c r="C807" s="55"/>
      <c r="D807" s="55"/>
      <c r="E807" s="55"/>
      <c r="F807" s="70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</row>
    <row r="808" spans="1:29">
      <c r="A808" s="55"/>
      <c r="B808" s="55"/>
      <c r="C808" s="55"/>
      <c r="D808" s="55"/>
      <c r="E808" s="55"/>
      <c r="F808" s="70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</row>
    <row r="809" spans="1:29">
      <c r="A809" s="55"/>
      <c r="B809" s="55"/>
      <c r="C809" s="55"/>
      <c r="D809" s="55"/>
      <c r="E809" s="55"/>
      <c r="F809" s="70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</row>
    <row r="810" spans="1:29">
      <c r="A810" s="55"/>
      <c r="B810" s="55"/>
      <c r="C810" s="55"/>
      <c r="D810" s="55"/>
      <c r="E810" s="55"/>
      <c r="F810" s="70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</row>
    <row r="811" spans="1:29">
      <c r="A811" s="55"/>
      <c r="B811" s="55"/>
      <c r="C811" s="55"/>
      <c r="D811" s="55"/>
      <c r="E811" s="55"/>
      <c r="F811" s="70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</row>
    <row r="812" spans="1:29">
      <c r="A812" s="55"/>
      <c r="B812" s="55"/>
      <c r="C812" s="55"/>
      <c r="D812" s="55"/>
      <c r="E812" s="55"/>
      <c r="F812" s="70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</row>
    <row r="813" spans="1:29">
      <c r="A813" s="55"/>
      <c r="B813" s="55"/>
      <c r="C813" s="55"/>
      <c r="D813" s="55"/>
      <c r="E813" s="55"/>
      <c r="F813" s="70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</row>
    <row r="814" spans="1:29">
      <c r="A814" s="55"/>
      <c r="B814" s="55"/>
      <c r="C814" s="55"/>
      <c r="D814" s="55"/>
      <c r="E814" s="55"/>
      <c r="F814" s="70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</row>
    <row r="815" spans="1:29">
      <c r="A815" s="55"/>
      <c r="B815" s="55"/>
      <c r="C815" s="55"/>
      <c r="D815" s="55"/>
      <c r="E815" s="55"/>
      <c r="F815" s="70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</row>
    <row r="816" spans="1:29">
      <c r="A816" s="55"/>
      <c r="B816" s="55"/>
      <c r="C816" s="55"/>
      <c r="D816" s="55"/>
      <c r="E816" s="55"/>
      <c r="F816" s="70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</row>
    <row r="817" spans="1:29">
      <c r="A817" s="55"/>
      <c r="B817" s="55"/>
      <c r="C817" s="55"/>
      <c r="D817" s="55"/>
      <c r="E817" s="55"/>
      <c r="F817" s="70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</row>
    <row r="818" spans="1:29">
      <c r="A818" s="55"/>
      <c r="B818" s="55"/>
      <c r="C818" s="55"/>
      <c r="D818" s="55"/>
      <c r="E818" s="55"/>
      <c r="F818" s="70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</row>
    <row r="819" spans="1:29">
      <c r="A819" s="55"/>
      <c r="B819" s="55"/>
      <c r="C819" s="55"/>
      <c r="D819" s="55"/>
      <c r="E819" s="55"/>
      <c r="F819" s="70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</row>
    <row r="820" spans="1:29">
      <c r="A820" s="55"/>
      <c r="B820" s="55"/>
      <c r="C820" s="55"/>
      <c r="D820" s="55"/>
      <c r="E820" s="55"/>
      <c r="F820" s="70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</row>
    <row r="821" spans="1:29">
      <c r="A821" s="55"/>
      <c r="B821" s="55"/>
      <c r="C821" s="55"/>
      <c r="D821" s="55"/>
      <c r="E821" s="55"/>
      <c r="F821" s="70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</row>
    <row r="822" spans="1:29">
      <c r="A822" s="55"/>
      <c r="B822" s="55"/>
      <c r="C822" s="55"/>
      <c r="D822" s="55"/>
      <c r="E822" s="55"/>
      <c r="F822" s="70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</row>
    <row r="823" spans="1:29">
      <c r="A823" s="55"/>
      <c r="B823" s="55"/>
      <c r="C823" s="55"/>
      <c r="D823" s="55"/>
      <c r="E823" s="55"/>
      <c r="F823" s="70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</row>
    <row r="824" spans="1:29">
      <c r="A824" s="55"/>
      <c r="B824" s="55"/>
      <c r="C824" s="55"/>
      <c r="D824" s="55"/>
      <c r="E824" s="55"/>
      <c r="F824" s="70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</row>
    <row r="825" spans="1:29">
      <c r="A825" s="55"/>
      <c r="B825" s="55"/>
      <c r="C825" s="55"/>
      <c r="D825" s="55"/>
      <c r="E825" s="55"/>
      <c r="F825" s="70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</row>
    <row r="826" spans="1:29">
      <c r="A826" s="55"/>
      <c r="B826" s="55"/>
      <c r="C826" s="55"/>
      <c r="D826" s="55"/>
      <c r="E826" s="55"/>
      <c r="F826" s="70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</row>
    <row r="827" spans="1:29">
      <c r="A827" s="55"/>
      <c r="B827" s="55"/>
      <c r="C827" s="55"/>
      <c r="D827" s="55"/>
      <c r="E827" s="55"/>
      <c r="F827" s="70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</row>
    <row r="828" spans="1:29">
      <c r="A828" s="55"/>
      <c r="B828" s="55"/>
      <c r="C828" s="55"/>
      <c r="D828" s="55"/>
      <c r="E828" s="55"/>
      <c r="F828" s="70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</row>
    <row r="829" spans="1:29">
      <c r="A829" s="55"/>
      <c r="B829" s="55"/>
      <c r="C829" s="55"/>
      <c r="D829" s="55"/>
      <c r="E829" s="55"/>
      <c r="F829" s="70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</row>
    <row r="830" spans="1:29">
      <c r="A830" s="55"/>
      <c r="B830" s="55"/>
      <c r="C830" s="55"/>
      <c r="D830" s="55"/>
      <c r="E830" s="55"/>
      <c r="F830" s="70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</row>
    <row r="831" spans="1:29">
      <c r="A831" s="55"/>
      <c r="B831" s="55"/>
      <c r="C831" s="55"/>
      <c r="D831" s="55"/>
      <c r="E831" s="55"/>
      <c r="F831" s="70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</row>
    <row r="832" spans="1:29">
      <c r="A832" s="55"/>
      <c r="B832" s="55"/>
      <c r="C832" s="55"/>
      <c r="D832" s="55"/>
      <c r="E832" s="55"/>
      <c r="F832" s="70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</row>
    <row r="833" spans="1:29">
      <c r="A833" s="55"/>
      <c r="B833" s="55"/>
      <c r="C833" s="55"/>
      <c r="D833" s="55"/>
      <c r="E833" s="55"/>
      <c r="F833" s="70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</row>
    <row r="834" spans="1:29">
      <c r="A834" s="55"/>
      <c r="B834" s="55"/>
      <c r="C834" s="55"/>
      <c r="D834" s="55"/>
      <c r="E834" s="55"/>
      <c r="F834" s="70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</row>
    <row r="835" spans="1:29">
      <c r="A835" s="55"/>
      <c r="B835" s="55"/>
      <c r="C835" s="55"/>
      <c r="D835" s="55"/>
      <c r="E835" s="55"/>
      <c r="F835" s="70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</row>
    <row r="836" spans="1:29">
      <c r="A836" s="55"/>
      <c r="B836" s="55"/>
      <c r="C836" s="55"/>
      <c r="D836" s="55"/>
      <c r="E836" s="55"/>
      <c r="F836" s="70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</row>
    <row r="837" spans="1:29">
      <c r="A837" s="55"/>
      <c r="B837" s="55"/>
      <c r="C837" s="55"/>
      <c r="D837" s="55"/>
      <c r="E837" s="55"/>
      <c r="F837" s="70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</row>
    <row r="838" spans="1:29">
      <c r="A838" s="55"/>
      <c r="B838" s="55"/>
      <c r="C838" s="55"/>
      <c r="D838" s="55"/>
      <c r="E838" s="55"/>
      <c r="F838" s="70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</row>
    <row r="839" spans="1:29">
      <c r="A839" s="55"/>
      <c r="B839" s="55"/>
      <c r="C839" s="55"/>
      <c r="D839" s="55"/>
      <c r="E839" s="55"/>
      <c r="F839" s="70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</row>
    <row r="840" spans="1:29">
      <c r="A840" s="55"/>
      <c r="B840" s="55"/>
      <c r="C840" s="55"/>
      <c r="D840" s="55"/>
      <c r="E840" s="55"/>
      <c r="F840" s="70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</row>
    <row r="841" spans="1:29">
      <c r="A841" s="55"/>
      <c r="B841" s="55"/>
      <c r="C841" s="55"/>
      <c r="D841" s="55"/>
      <c r="E841" s="55"/>
      <c r="F841" s="70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</row>
    <row r="842" spans="1:29">
      <c r="A842" s="55"/>
      <c r="B842" s="55"/>
      <c r="C842" s="55"/>
      <c r="D842" s="55"/>
      <c r="E842" s="55"/>
      <c r="F842" s="70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</row>
    <row r="843" spans="1:29">
      <c r="A843" s="55"/>
      <c r="B843" s="55"/>
      <c r="C843" s="55"/>
      <c r="D843" s="55"/>
      <c r="E843" s="55"/>
      <c r="F843" s="70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</row>
    <row r="844" spans="1:29">
      <c r="A844" s="55"/>
      <c r="B844" s="55"/>
      <c r="C844" s="55"/>
      <c r="D844" s="55"/>
      <c r="E844" s="55"/>
      <c r="F844" s="70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</row>
    <row r="845" spans="1:29">
      <c r="A845" s="55"/>
      <c r="B845" s="55"/>
      <c r="C845" s="55"/>
      <c r="D845" s="55"/>
      <c r="E845" s="55"/>
      <c r="F845" s="70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</row>
    <row r="846" spans="1:29">
      <c r="A846" s="55"/>
      <c r="B846" s="55"/>
      <c r="C846" s="55"/>
      <c r="D846" s="55"/>
      <c r="E846" s="55"/>
      <c r="F846" s="70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</row>
    <row r="847" spans="1:29">
      <c r="A847" s="55"/>
      <c r="B847" s="55"/>
      <c r="C847" s="55"/>
      <c r="D847" s="55"/>
      <c r="E847" s="55"/>
      <c r="F847" s="70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</row>
    <row r="848" spans="1:29">
      <c r="A848" s="55"/>
      <c r="B848" s="55"/>
      <c r="C848" s="55"/>
      <c r="D848" s="55"/>
      <c r="E848" s="55"/>
      <c r="F848" s="70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</row>
    <row r="849" spans="1:29">
      <c r="A849" s="55"/>
      <c r="B849" s="55"/>
      <c r="C849" s="55"/>
      <c r="D849" s="55"/>
      <c r="E849" s="55"/>
      <c r="F849" s="70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</row>
    <row r="850" spans="1:29">
      <c r="A850" s="55"/>
      <c r="B850" s="55"/>
      <c r="C850" s="55"/>
      <c r="D850" s="55"/>
      <c r="E850" s="55"/>
      <c r="F850" s="70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</row>
    <row r="851" spans="1:29">
      <c r="A851" s="55"/>
      <c r="B851" s="55"/>
      <c r="C851" s="55"/>
      <c r="D851" s="55"/>
      <c r="E851" s="55"/>
      <c r="F851" s="70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</row>
    <row r="852" spans="1:29">
      <c r="A852" s="55"/>
      <c r="B852" s="55"/>
      <c r="C852" s="55"/>
      <c r="D852" s="55"/>
      <c r="E852" s="55"/>
      <c r="F852" s="70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</row>
    <row r="853" spans="1:29">
      <c r="A853" s="55"/>
      <c r="B853" s="55"/>
      <c r="C853" s="55"/>
      <c r="D853" s="55"/>
      <c r="E853" s="55"/>
      <c r="F853" s="70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</row>
    <row r="854" spans="1:29">
      <c r="A854" s="55"/>
      <c r="B854" s="55"/>
      <c r="C854" s="55"/>
      <c r="D854" s="55"/>
      <c r="E854" s="55"/>
      <c r="F854" s="70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</row>
    <row r="855" spans="1:29">
      <c r="A855" s="55"/>
      <c r="B855" s="55"/>
      <c r="C855" s="55"/>
      <c r="D855" s="55"/>
      <c r="E855" s="55"/>
      <c r="F855" s="70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</row>
    <row r="856" spans="1:29">
      <c r="A856" s="55"/>
      <c r="B856" s="55"/>
      <c r="C856" s="55"/>
      <c r="D856" s="55"/>
      <c r="E856" s="55"/>
      <c r="F856" s="70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</row>
    <row r="857" spans="1:29">
      <c r="A857" s="55"/>
      <c r="B857" s="55"/>
      <c r="C857" s="55"/>
      <c r="D857" s="55"/>
      <c r="E857" s="55"/>
      <c r="F857" s="70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</row>
    <row r="858" spans="1:29">
      <c r="A858" s="55"/>
      <c r="B858" s="55"/>
      <c r="C858" s="55"/>
      <c r="D858" s="55"/>
      <c r="E858" s="55"/>
      <c r="F858" s="70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</row>
    <row r="859" spans="1:29">
      <c r="A859" s="55"/>
      <c r="B859" s="55"/>
      <c r="C859" s="55"/>
      <c r="D859" s="55"/>
      <c r="E859" s="55"/>
      <c r="F859" s="70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</row>
    <row r="860" spans="1:29">
      <c r="A860" s="55"/>
      <c r="B860" s="55"/>
      <c r="C860" s="55"/>
      <c r="D860" s="55"/>
      <c r="E860" s="55"/>
      <c r="F860" s="70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</row>
    <row r="861" spans="1:29">
      <c r="A861" s="55"/>
      <c r="B861" s="55"/>
      <c r="C861" s="55"/>
      <c r="D861" s="55"/>
      <c r="E861" s="55"/>
      <c r="F861" s="70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</row>
    <row r="862" spans="1:29">
      <c r="A862" s="55"/>
      <c r="B862" s="55"/>
      <c r="C862" s="55"/>
      <c r="D862" s="55"/>
      <c r="E862" s="55"/>
      <c r="F862" s="70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</row>
    <row r="863" spans="1:29">
      <c r="A863" s="55"/>
      <c r="B863" s="55"/>
      <c r="C863" s="55"/>
      <c r="D863" s="55"/>
      <c r="E863" s="55"/>
      <c r="F863" s="70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</row>
    <row r="864" spans="1:29">
      <c r="A864" s="55"/>
      <c r="B864" s="55"/>
      <c r="C864" s="55"/>
      <c r="D864" s="55"/>
      <c r="E864" s="55"/>
      <c r="F864" s="70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</row>
    <row r="865" spans="1:29">
      <c r="A865" s="55"/>
      <c r="B865" s="55"/>
      <c r="C865" s="55"/>
      <c r="D865" s="55"/>
      <c r="E865" s="55"/>
      <c r="F865" s="70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</row>
    <row r="866" spans="1:29">
      <c r="A866" s="55"/>
      <c r="B866" s="55"/>
      <c r="C866" s="55"/>
      <c r="D866" s="55"/>
      <c r="E866" s="55"/>
      <c r="F866" s="70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</row>
    <row r="867" spans="1:29">
      <c r="A867" s="55"/>
      <c r="B867" s="55"/>
      <c r="C867" s="55"/>
      <c r="D867" s="55"/>
      <c r="E867" s="55"/>
      <c r="F867" s="70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</row>
    <row r="868" spans="1:29">
      <c r="A868" s="55"/>
      <c r="B868" s="55"/>
      <c r="C868" s="55"/>
      <c r="D868" s="55"/>
      <c r="E868" s="55"/>
      <c r="F868" s="70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</row>
    <row r="869" spans="1:29">
      <c r="A869" s="55"/>
      <c r="B869" s="55"/>
      <c r="C869" s="55"/>
      <c r="D869" s="55"/>
      <c r="E869" s="55"/>
      <c r="F869" s="70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</row>
    <row r="870" spans="1:29">
      <c r="A870" s="55"/>
      <c r="B870" s="55"/>
      <c r="C870" s="55"/>
      <c r="D870" s="55"/>
      <c r="E870" s="55"/>
      <c r="F870" s="70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</row>
    <row r="871" spans="1:29">
      <c r="A871" s="55"/>
      <c r="B871" s="55"/>
      <c r="C871" s="55"/>
      <c r="D871" s="55"/>
      <c r="E871" s="55"/>
      <c r="F871" s="70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</row>
    <row r="872" spans="1:29">
      <c r="A872" s="55"/>
      <c r="B872" s="55"/>
      <c r="C872" s="55"/>
      <c r="D872" s="55"/>
      <c r="E872" s="55"/>
      <c r="F872" s="70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</row>
    <row r="873" spans="1:29">
      <c r="A873" s="55"/>
      <c r="B873" s="55"/>
      <c r="C873" s="55"/>
      <c r="D873" s="55"/>
      <c r="E873" s="55"/>
      <c r="F873" s="70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</row>
    <row r="874" spans="1:29">
      <c r="A874" s="55"/>
      <c r="B874" s="55"/>
      <c r="C874" s="55"/>
      <c r="D874" s="55"/>
      <c r="E874" s="55"/>
      <c r="F874" s="70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</row>
    <row r="875" spans="1:29">
      <c r="A875" s="55"/>
      <c r="B875" s="55"/>
      <c r="C875" s="55"/>
      <c r="D875" s="55"/>
      <c r="E875" s="55"/>
      <c r="F875" s="70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</row>
    <row r="876" spans="1:29">
      <c r="A876" s="55"/>
      <c r="B876" s="55"/>
      <c r="C876" s="55"/>
      <c r="D876" s="55"/>
      <c r="E876" s="55"/>
      <c r="F876" s="70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</row>
    <row r="877" spans="1:29">
      <c r="A877" s="55"/>
      <c r="B877" s="55"/>
      <c r="C877" s="55"/>
      <c r="D877" s="55"/>
      <c r="E877" s="55"/>
      <c r="F877" s="70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</row>
    <row r="878" spans="1:29">
      <c r="A878" s="55"/>
      <c r="B878" s="55"/>
      <c r="C878" s="55"/>
      <c r="D878" s="55"/>
      <c r="E878" s="55"/>
      <c r="F878" s="70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</row>
    <row r="879" spans="1:29">
      <c r="A879" s="55"/>
      <c r="B879" s="55"/>
      <c r="C879" s="55"/>
      <c r="D879" s="55"/>
      <c r="E879" s="55"/>
      <c r="F879" s="70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</row>
    <row r="880" spans="1:29">
      <c r="A880" s="55"/>
      <c r="B880" s="55"/>
      <c r="C880" s="55"/>
      <c r="D880" s="55"/>
      <c r="E880" s="55"/>
      <c r="F880" s="70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</row>
    <row r="881" spans="1:29">
      <c r="A881" s="55"/>
      <c r="B881" s="55"/>
      <c r="C881" s="55"/>
      <c r="D881" s="55"/>
      <c r="E881" s="55"/>
      <c r="F881" s="70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</row>
    <row r="882" spans="1:29">
      <c r="A882" s="55"/>
      <c r="B882" s="55"/>
      <c r="C882" s="55"/>
      <c r="D882" s="55"/>
      <c r="E882" s="55"/>
      <c r="F882" s="70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</row>
    <row r="883" spans="1:29">
      <c r="A883" s="55"/>
      <c r="B883" s="55"/>
      <c r="C883" s="55"/>
      <c r="D883" s="55"/>
      <c r="E883" s="55"/>
      <c r="F883" s="70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</row>
    <row r="884" spans="1:29">
      <c r="A884" s="55"/>
      <c r="B884" s="55"/>
      <c r="C884" s="55"/>
      <c r="D884" s="55"/>
      <c r="E884" s="55"/>
      <c r="F884" s="70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</row>
    <row r="885" spans="1:29">
      <c r="A885" s="55"/>
      <c r="B885" s="55"/>
      <c r="C885" s="55"/>
      <c r="D885" s="55"/>
      <c r="E885" s="55"/>
      <c r="F885" s="70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</row>
    <row r="886" spans="1:29">
      <c r="A886" s="55"/>
      <c r="B886" s="55"/>
      <c r="C886" s="55"/>
      <c r="D886" s="55"/>
      <c r="E886" s="55"/>
      <c r="F886" s="70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</row>
    <row r="887" spans="1:29">
      <c r="A887" s="55"/>
      <c r="B887" s="55"/>
      <c r="C887" s="55"/>
      <c r="D887" s="55"/>
      <c r="E887" s="55"/>
      <c r="F887" s="70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</row>
    <row r="888" spans="1:29">
      <c r="A888" s="55"/>
      <c r="B888" s="55"/>
      <c r="C888" s="55"/>
      <c r="D888" s="55"/>
      <c r="E888" s="55"/>
      <c r="F888" s="70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</row>
    <row r="889" spans="1:29">
      <c r="A889" s="55"/>
      <c r="B889" s="55"/>
      <c r="C889" s="55"/>
      <c r="D889" s="55"/>
      <c r="E889" s="55"/>
      <c r="F889" s="70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</row>
    <row r="890" spans="1:29">
      <c r="A890" s="55"/>
      <c r="B890" s="55"/>
      <c r="C890" s="55"/>
      <c r="D890" s="55"/>
      <c r="E890" s="55"/>
      <c r="F890" s="70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</row>
    <row r="891" spans="1:29">
      <c r="A891" s="55"/>
      <c r="B891" s="55"/>
      <c r="C891" s="55"/>
      <c r="D891" s="55"/>
      <c r="E891" s="55"/>
      <c r="F891" s="70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</row>
    <row r="892" spans="1:29">
      <c r="A892" s="55"/>
      <c r="B892" s="55"/>
      <c r="C892" s="55"/>
      <c r="D892" s="55"/>
      <c r="E892" s="55"/>
      <c r="F892" s="70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</row>
    <row r="893" spans="1:29">
      <c r="A893" s="55"/>
      <c r="B893" s="55"/>
      <c r="C893" s="55"/>
      <c r="D893" s="55"/>
      <c r="E893" s="55"/>
      <c r="F893" s="70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</row>
    <row r="894" spans="1:29">
      <c r="A894" s="55"/>
      <c r="B894" s="55"/>
      <c r="C894" s="55"/>
      <c r="D894" s="55"/>
      <c r="E894" s="55"/>
      <c r="F894" s="70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</row>
    <row r="895" spans="1:29">
      <c r="A895" s="55"/>
      <c r="B895" s="55"/>
      <c r="C895" s="55"/>
      <c r="D895" s="55"/>
      <c r="E895" s="55"/>
      <c r="F895" s="70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</row>
    <row r="896" spans="1:29">
      <c r="A896" s="55"/>
      <c r="B896" s="55"/>
      <c r="C896" s="55"/>
      <c r="D896" s="55"/>
      <c r="E896" s="55"/>
      <c r="F896" s="70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</row>
    <row r="897" spans="1:29">
      <c r="A897" s="55"/>
      <c r="B897" s="55"/>
      <c r="C897" s="55"/>
      <c r="D897" s="55"/>
      <c r="E897" s="55"/>
      <c r="F897" s="70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</row>
    <row r="898" spans="1:29">
      <c r="A898" s="55"/>
      <c r="B898" s="55"/>
      <c r="C898" s="55"/>
      <c r="D898" s="55"/>
      <c r="E898" s="55"/>
      <c r="F898" s="70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</row>
    <row r="899" spans="1:29">
      <c r="A899" s="55"/>
      <c r="B899" s="55"/>
      <c r="C899" s="55"/>
      <c r="D899" s="55"/>
      <c r="E899" s="55"/>
      <c r="F899" s="70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</row>
    <row r="900" spans="1:29">
      <c r="A900" s="55"/>
      <c r="B900" s="55"/>
      <c r="C900" s="55"/>
      <c r="D900" s="55"/>
      <c r="E900" s="55"/>
      <c r="F900" s="70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</row>
    <row r="901" spans="1:29">
      <c r="A901" s="55"/>
      <c r="B901" s="55"/>
      <c r="C901" s="55"/>
      <c r="D901" s="55"/>
      <c r="E901" s="55"/>
      <c r="F901" s="70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</row>
    <row r="902" spans="1:29">
      <c r="A902" s="55"/>
      <c r="B902" s="55"/>
      <c r="C902" s="55"/>
      <c r="D902" s="55"/>
      <c r="E902" s="55"/>
      <c r="F902" s="70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</row>
    <row r="903" spans="1:29">
      <c r="A903" s="55"/>
      <c r="B903" s="55"/>
      <c r="C903" s="55"/>
      <c r="D903" s="55"/>
      <c r="E903" s="55"/>
      <c r="F903" s="70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</row>
    <row r="904" spans="1:29">
      <c r="A904" s="55"/>
      <c r="B904" s="55"/>
      <c r="C904" s="55"/>
      <c r="D904" s="55"/>
      <c r="E904" s="55"/>
      <c r="F904" s="70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</row>
    <row r="905" spans="1:29">
      <c r="A905" s="55"/>
      <c r="B905" s="55"/>
      <c r="C905" s="55"/>
      <c r="D905" s="55"/>
      <c r="E905" s="55"/>
      <c r="F905" s="70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</row>
    <row r="906" spans="1:29">
      <c r="A906" s="55"/>
      <c r="B906" s="55"/>
      <c r="C906" s="55"/>
      <c r="D906" s="55"/>
      <c r="E906" s="55"/>
      <c r="F906" s="70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</row>
    <row r="907" spans="1:29">
      <c r="A907" s="55"/>
      <c r="B907" s="55"/>
      <c r="C907" s="55"/>
      <c r="D907" s="55"/>
      <c r="E907" s="55"/>
      <c r="F907" s="70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</row>
    <row r="908" spans="1:29">
      <c r="A908" s="55"/>
      <c r="B908" s="55"/>
      <c r="C908" s="55"/>
      <c r="D908" s="55"/>
      <c r="E908" s="55"/>
      <c r="F908" s="70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</row>
    <row r="909" spans="1:29">
      <c r="A909" s="55"/>
      <c r="B909" s="55"/>
      <c r="C909" s="55"/>
      <c r="D909" s="55"/>
      <c r="E909" s="55"/>
      <c r="F909" s="70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</row>
    <row r="910" spans="1:29">
      <c r="A910" s="55"/>
      <c r="B910" s="55"/>
      <c r="C910" s="55"/>
      <c r="D910" s="55"/>
      <c r="E910" s="55"/>
      <c r="F910" s="70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</row>
    <row r="911" spans="1:29">
      <c r="A911" s="55"/>
      <c r="B911" s="55"/>
      <c r="C911" s="55"/>
      <c r="D911" s="55"/>
      <c r="E911" s="55"/>
      <c r="F911" s="70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</row>
    <row r="912" spans="1:29">
      <c r="A912" s="55"/>
      <c r="B912" s="55"/>
      <c r="C912" s="55"/>
      <c r="D912" s="55"/>
      <c r="E912" s="55"/>
      <c r="F912" s="70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</row>
    <row r="913" spans="1:29">
      <c r="A913" s="55"/>
      <c r="B913" s="55"/>
      <c r="C913" s="55"/>
      <c r="D913" s="55"/>
      <c r="E913" s="55"/>
      <c r="F913" s="70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</row>
    <row r="914" spans="1:29">
      <c r="A914" s="55"/>
      <c r="B914" s="55"/>
      <c r="C914" s="55"/>
      <c r="D914" s="55"/>
      <c r="E914" s="55"/>
      <c r="F914" s="70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</row>
    <row r="915" spans="1:29">
      <c r="A915" s="55"/>
      <c r="B915" s="55"/>
      <c r="C915" s="55"/>
      <c r="D915" s="55"/>
      <c r="E915" s="55"/>
      <c r="F915" s="70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</row>
    <row r="916" spans="1:29">
      <c r="A916" s="55"/>
      <c r="B916" s="55"/>
      <c r="C916" s="55"/>
      <c r="D916" s="55"/>
      <c r="E916" s="55"/>
      <c r="F916" s="70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</row>
    <row r="917" spans="1:29">
      <c r="A917" s="55"/>
      <c r="B917" s="55"/>
      <c r="C917" s="55"/>
      <c r="D917" s="55"/>
      <c r="E917" s="55"/>
      <c r="F917" s="70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</row>
    <row r="918" spans="1:29">
      <c r="A918" s="55"/>
      <c r="B918" s="55"/>
      <c r="C918" s="55"/>
      <c r="D918" s="55"/>
      <c r="E918" s="55"/>
      <c r="F918" s="70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</row>
    <row r="919" spans="1:29">
      <c r="A919" s="55"/>
      <c r="B919" s="55"/>
      <c r="C919" s="55"/>
      <c r="D919" s="55"/>
      <c r="E919" s="55"/>
      <c r="F919" s="70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</row>
    <row r="920" spans="1:29">
      <c r="A920" s="55"/>
      <c r="B920" s="55"/>
      <c r="C920" s="55"/>
      <c r="D920" s="55"/>
      <c r="E920" s="55"/>
      <c r="F920" s="70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</row>
    <row r="921" spans="1:29">
      <c r="A921" s="55"/>
      <c r="B921" s="55"/>
      <c r="C921" s="55"/>
      <c r="D921" s="55"/>
      <c r="E921" s="55"/>
      <c r="F921" s="70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</row>
    <row r="922" spans="1:29">
      <c r="A922" s="55"/>
      <c r="B922" s="55"/>
      <c r="C922" s="55"/>
      <c r="D922" s="55"/>
      <c r="E922" s="55"/>
      <c r="F922" s="70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</row>
    <row r="923" spans="1:29">
      <c r="A923" s="55"/>
      <c r="B923" s="55"/>
      <c r="C923" s="55"/>
      <c r="D923" s="55"/>
      <c r="E923" s="55"/>
      <c r="F923" s="70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</row>
    <row r="924" spans="1:29">
      <c r="A924" s="55"/>
      <c r="B924" s="55"/>
      <c r="C924" s="55"/>
      <c r="D924" s="55"/>
      <c r="E924" s="55"/>
      <c r="F924" s="70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</row>
    <row r="925" spans="1:29">
      <c r="A925" s="55"/>
      <c r="B925" s="55"/>
      <c r="C925" s="55"/>
      <c r="D925" s="55"/>
      <c r="E925" s="55"/>
      <c r="F925" s="70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</row>
    <row r="926" spans="1:29">
      <c r="A926" s="55"/>
      <c r="B926" s="55"/>
      <c r="C926" s="55"/>
      <c r="D926" s="55"/>
      <c r="E926" s="55"/>
      <c r="F926" s="70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</row>
    <row r="927" spans="1:29">
      <c r="A927" s="55"/>
      <c r="B927" s="55"/>
      <c r="C927" s="55"/>
      <c r="D927" s="55"/>
      <c r="E927" s="55"/>
      <c r="F927" s="70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</row>
    <row r="928" spans="1:29">
      <c r="A928" s="55"/>
      <c r="B928" s="55"/>
      <c r="C928" s="55"/>
      <c r="D928" s="55"/>
      <c r="E928" s="55"/>
      <c r="F928" s="70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</row>
    <row r="929" spans="1:29">
      <c r="A929" s="55"/>
      <c r="B929" s="55"/>
      <c r="C929" s="55"/>
      <c r="D929" s="55"/>
      <c r="E929" s="55"/>
      <c r="F929" s="70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</row>
    <row r="930" spans="1:29">
      <c r="A930" s="55"/>
      <c r="B930" s="55"/>
      <c r="C930" s="55"/>
      <c r="D930" s="55"/>
      <c r="E930" s="55"/>
      <c r="F930" s="70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</row>
    <row r="931" spans="1:29">
      <c r="A931" s="55"/>
      <c r="B931" s="55"/>
      <c r="C931" s="55"/>
      <c r="D931" s="55"/>
      <c r="E931" s="55"/>
      <c r="F931" s="70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</row>
    <row r="932" spans="1:29">
      <c r="A932" s="55"/>
      <c r="B932" s="55"/>
      <c r="C932" s="55"/>
      <c r="D932" s="55"/>
      <c r="E932" s="55"/>
      <c r="F932" s="70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</row>
    <row r="933" spans="1:29">
      <c r="A933" s="55"/>
      <c r="B933" s="55"/>
      <c r="C933" s="55"/>
      <c r="D933" s="55"/>
      <c r="E933" s="55"/>
      <c r="F933" s="70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</row>
    <row r="934" spans="1:29">
      <c r="A934" s="55"/>
      <c r="B934" s="55"/>
      <c r="C934" s="55"/>
      <c r="D934" s="55"/>
      <c r="E934" s="55"/>
      <c r="F934" s="70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</row>
    <row r="935" spans="1:29">
      <c r="A935" s="55"/>
      <c r="B935" s="55"/>
      <c r="C935" s="55"/>
      <c r="D935" s="55"/>
      <c r="E935" s="55"/>
      <c r="F935" s="70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</row>
    <row r="936" spans="1:29">
      <c r="A936" s="55"/>
      <c r="B936" s="55"/>
      <c r="C936" s="55"/>
      <c r="D936" s="55"/>
      <c r="E936" s="55"/>
      <c r="F936" s="70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</row>
    <row r="937" spans="1:29">
      <c r="A937" s="55"/>
      <c r="B937" s="55"/>
      <c r="C937" s="55"/>
      <c r="D937" s="55"/>
      <c r="E937" s="55"/>
      <c r="F937" s="70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</row>
    <row r="938" spans="1:29">
      <c r="A938" s="55"/>
      <c r="B938" s="55"/>
      <c r="C938" s="55"/>
      <c r="D938" s="55"/>
      <c r="E938" s="55"/>
      <c r="F938" s="70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</row>
    <row r="939" spans="1:29">
      <c r="A939" s="55"/>
      <c r="B939" s="55"/>
      <c r="C939" s="55"/>
      <c r="D939" s="55"/>
      <c r="E939" s="55"/>
      <c r="F939" s="70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</row>
    <row r="940" spans="1:29">
      <c r="A940" s="55"/>
      <c r="B940" s="55"/>
      <c r="C940" s="55"/>
      <c r="D940" s="55"/>
      <c r="E940" s="55"/>
      <c r="F940" s="70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</row>
    <row r="941" spans="1:29">
      <c r="A941" s="55"/>
      <c r="B941" s="55"/>
      <c r="C941" s="55"/>
      <c r="D941" s="55"/>
      <c r="E941" s="55"/>
      <c r="F941" s="70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</row>
    <row r="942" spans="1:29">
      <c r="A942" s="55"/>
      <c r="B942" s="55"/>
      <c r="C942" s="55"/>
      <c r="D942" s="55"/>
      <c r="E942" s="55"/>
      <c r="F942" s="70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</row>
    <row r="943" spans="1:29">
      <c r="A943" s="55"/>
      <c r="B943" s="55"/>
      <c r="C943" s="55"/>
      <c r="D943" s="55"/>
      <c r="E943" s="55"/>
      <c r="F943" s="70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</row>
    <row r="944" spans="1:29">
      <c r="A944" s="55"/>
      <c r="B944" s="55"/>
      <c r="C944" s="55"/>
      <c r="D944" s="55"/>
      <c r="E944" s="55"/>
      <c r="F944" s="70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</row>
    <row r="945" spans="1:29">
      <c r="A945" s="55"/>
      <c r="B945" s="55"/>
      <c r="C945" s="55"/>
      <c r="D945" s="55"/>
      <c r="E945" s="55"/>
      <c r="F945" s="70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</row>
    <row r="946" spans="1:29">
      <c r="A946" s="55"/>
      <c r="B946" s="55"/>
      <c r="C946" s="55"/>
      <c r="D946" s="55"/>
      <c r="E946" s="55"/>
      <c r="F946" s="70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</row>
    <row r="947" spans="1:29">
      <c r="A947" s="55"/>
      <c r="B947" s="55"/>
      <c r="C947" s="55"/>
      <c r="D947" s="55"/>
      <c r="E947" s="55"/>
      <c r="F947" s="70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</row>
    <row r="948" spans="1:29">
      <c r="A948" s="55"/>
      <c r="B948" s="55"/>
      <c r="C948" s="55"/>
      <c r="D948" s="55"/>
      <c r="E948" s="55"/>
      <c r="F948" s="70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</row>
    <row r="949" spans="1:29">
      <c r="A949" s="55"/>
      <c r="B949" s="55"/>
      <c r="C949" s="55"/>
      <c r="D949" s="55"/>
      <c r="E949" s="55"/>
      <c r="F949" s="70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</row>
    <row r="950" spans="1:29">
      <c r="A950" s="55"/>
      <c r="B950" s="55"/>
      <c r="C950" s="55"/>
      <c r="D950" s="55"/>
      <c r="E950" s="55"/>
      <c r="F950" s="70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</row>
    <row r="951" spans="1:29">
      <c r="A951" s="55"/>
      <c r="B951" s="55"/>
      <c r="C951" s="55"/>
      <c r="D951" s="55"/>
      <c r="E951" s="55"/>
      <c r="F951" s="70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</row>
    <row r="952" spans="1:29">
      <c r="A952" s="55"/>
      <c r="B952" s="55"/>
      <c r="C952" s="55"/>
      <c r="D952" s="55"/>
      <c r="E952" s="55"/>
      <c r="F952" s="70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</row>
    <row r="953" spans="1:29">
      <c r="A953" s="55"/>
      <c r="B953" s="55"/>
      <c r="C953" s="55"/>
      <c r="D953" s="55"/>
      <c r="E953" s="55"/>
      <c r="F953" s="70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</row>
    <row r="954" spans="1:29">
      <c r="A954" s="55"/>
      <c r="B954" s="55"/>
      <c r="C954" s="55"/>
      <c r="D954" s="55"/>
      <c r="E954" s="55"/>
      <c r="F954" s="70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</row>
    <row r="955" spans="1:29">
      <c r="A955" s="55"/>
      <c r="B955" s="55"/>
      <c r="C955" s="55"/>
      <c r="D955" s="55"/>
      <c r="E955" s="55"/>
      <c r="F955" s="70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</row>
    <row r="956" spans="1:29">
      <c r="A956" s="55"/>
      <c r="B956" s="55"/>
      <c r="C956" s="55"/>
      <c r="D956" s="55"/>
      <c r="E956" s="55"/>
      <c r="F956" s="70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</row>
    <row r="957" spans="1:29">
      <c r="A957" s="55"/>
      <c r="B957" s="55"/>
      <c r="C957" s="55"/>
      <c r="D957" s="55"/>
      <c r="E957" s="55"/>
      <c r="F957" s="70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</row>
    <row r="958" spans="1:29">
      <c r="A958" s="55"/>
      <c r="B958" s="55"/>
      <c r="C958" s="55"/>
      <c r="D958" s="55"/>
      <c r="E958" s="55"/>
      <c r="F958" s="70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</row>
    <row r="959" spans="1:29">
      <c r="A959" s="55"/>
      <c r="B959" s="55"/>
      <c r="C959" s="55"/>
      <c r="D959" s="55"/>
      <c r="E959" s="55"/>
      <c r="F959" s="70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</row>
    <row r="960" spans="1:29">
      <c r="A960" s="55"/>
      <c r="B960" s="55"/>
      <c r="C960" s="55"/>
      <c r="D960" s="55"/>
      <c r="E960" s="55"/>
      <c r="F960" s="70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</row>
    <row r="961" spans="1:29">
      <c r="A961" s="55"/>
      <c r="B961" s="55"/>
      <c r="C961" s="55"/>
      <c r="D961" s="55"/>
      <c r="E961" s="55"/>
      <c r="F961" s="70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</row>
    <row r="962" spans="1:29">
      <c r="A962" s="55"/>
      <c r="B962" s="55"/>
      <c r="C962" s="55"/>
      <c r="D962" s="55"/>
      <c r="E962" s="55"/>
      <c r="F962" s="70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</row>
    <row r="963" spans="1:29">
      <c r="A963" s="55"/>
      <c r="B963" s="55"/>
      <c r="C963" s="55"/>
      <c r="D963" s="55"/>
      <c r="E963" s="55"/>
      <c r="F963" s="70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</row>
    <row r="964" spans="1:29">
      <c r="A964" s="55"/>
      <c r="B964" s="55"/>
      <c r="C964" s="55"/>
      <c r="D964" s="55"/>
      <c r="E964" s="55"/>
      <c r="F964" s="70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</row>
    <row r="965" spans="1:29">
      <c r="A965" s="55"/>
      <c r="B965" s="55"/>
      <c r="C965" s="55"/>
      <c r="D965" s="55"/>
      <c r="E965" s="55"/>
      <c r="F965" s="70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</row>
    <row r="966" spans="1:29">
      <c r="A966" s="55"/>
      <c r="B966" s="55"/>
      <c r="C966" s="55"/>
      <c r="D966" s="55"/>
      <c r="E966" s="55"/>
      <c r="F966" s="70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</row>
    <row r="967" spans="1:29">
      <c r="A967" s="55"/>
      <c r="B967" s="55"/>
      <c r="C967" s="55"/>
      <c r="D967" s="55"/>
      <c r="E967" s="55"/>
      <c r="F967" s="70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</row>
    <row r="968" spans="1:29">
      <c r="A968" s="55"/>
      <c r="B968" s="55"/>
      <c r="C968" s="55"/>
      <c r="D968" s="55"/>
      <c r="E968" s="55"/>
      <c r="F968" s="70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</row>
    <row r="969" spans="1:29">
      <c r="A969" s="55"/>
      <c r="B969" s="55"/>
      <c r="C969" s="55"/>
      <c r="D969" s="55"/>
      <c r="E969" s="55"/>
      <c r="F969" s="70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</row>
    <row r="970" spans="1:29">
      <c r="A970" s="55"/>
      <c r="B970" s="55"/>
      <c r="C970" s="55"/>
      <c r="D970" s="55"/>
      <c r="E970" s="55"/>
      <c r="F970" s="70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</row>
    <row r="971" spans="1:29">
      <c r="A971" s="55"/>
      <c r="B971" s="55"/>
      <c r="C971" s="55"/>
      <c r="D971" s="55"/>
      <c r="E971" s="55"/>
      <c r="F971" s="70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</row>
    <row r="972" spans="1:29">
      <c r="A972" s="55"/>
      <c r="B972" s="55"/>
      <c r="C972" s="55"/>
      <c r="D972" s="55"/>
      <c r="E972" s="55"/>
      <c r="F972" s="70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</row>
    <row r="973" spans="1:29">
      <c r="A973" s="55"/>
      <c r="B973" s="55"/>
      <c r="C973" s="55"/>
      <c r="D973" s="55"/>
      <c r="E973" s="55"/>
      <c r="F973" s="70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</row>
    <row r="974" spans="1:29">
      <c r="A974" s="55"/>
      <c r="B974" s="55"/>
      <c r="C974" s="55"/>
      <c r="D974" s="55"/>
      <c r="E974" s="55"/>
      <c r="F974" s="70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</row>
    <row r="975" spans="1:29">
      <c r="A975" s="55"/>
      <c r="B975" s="55"/>
      <c r="C975" s="55"/>
      <c r="D975" s="55"/>
      <c r="E975" s="55"/>
      <c r="F975" s="70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</row>
    <row r="976" spans="1:29">
      <c r="A976" s="55"/>
      <c r="B976" s="55"/>
      <c r="C976" s="55"/>
      <c r="D976" s="55"/>
      <c r="E976" s="55"/>
      <c r="F976" s="70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</row>
    <row r="977" spans="1:29">
      <c r="A977" s="55"/>
      <c r="B977" s="55"/>
      <c r="C977" s="55"/>
      <c r="D977" s="55"/>
      <c r="E977" s="55"/>
      <c r="F977" s="70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</row>
    <row r="978" spans="1:29">
      <c r="A978" s="55"/>
      <c r="B978" s="55"/>
      <c r="C978" s="55"/>
      <c r="D978" s="55"/>
      <c r="E978" s="55"/>
      <c r="F978" s="70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</row>
    <row r="979" spans="1:29">
      <c r="A979" s="55"/>
      <c r="B979" s="55"/>
      <c r="C979" s="55"/>
      <c r="D979" s="55"/>
      <c r="E979" s="55"/>
      <c r="F979" s="70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</row>
    <row r="980" spans="1:29">
      <c r="A980" s="55"/>
      <c r="B980" s="55"/>
      <c r="C980" s="55"/>
      <c r="D980" s="55"/>
      <c r="E980" s="55"/>
      <c r="F980" s="70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</row>
    <row r="981" spans="1:29">
      <c r="A981" s="55"/>
      <c r="B981" s="55"/>
      <c r="C981" s="55"/>
      <c r="D981" s="55"/>
      <c r="E981" s="55"/>
      <c r="F981" s="70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</row>
    <row r="982" spans="1:29">
      <c r="A982" s="55"/>
      <c r="B982" s="55"/>
      <c r="C982" s="55"/>
      <c r="D982" s="55"/>
      <c r="E982" s="55"/>
      <c r="F982" s="70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</row>
    <row r="983" spans="1:29">
      <c r="A983" s="55"/>
      <c r="B983" s="55"/>
      <c r="C983" s="55"/>
      <c r="D983" s="55"/>
      <c r="E983" s="55"/>
      <c r="F983" s="70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</row>
    <row r="984" spans="1:29">
      <c r="A984" s="55"/>
      <c r="B984" s="55"/>
      <c r="C984" s="55"/>
      <c r="D984" s="55"/>
      <c r="E984" s="55"/>
      <c r="F984" s="70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</row>
    <row r="985" spans="1:29">
      <c r="A985" s="55"/>
      <c r="B985" s="55"/>
      <c r="C985" s="55"/>
      <c r="D985" s="55"/>
      <c r="E985" s="55"/>
      <c r="F985" s="70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</row>
    <row r="986" spans="1:29">
      <c r="A986" s="55"/>
      <c r="B986" s="55"/>
      <c r="C986" s="55"/>
      <c r="D986" s="55"/>
      <c r="E986" s="55"/>
      <c r="F986" s="70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</row>
    <row r="987" spans="1:29">
      <c r="A987" s="55"/>
      <c r="B987" s="55"/>
      <c r="C987" s="55"/>
      <c r="D987" s="55"/>
      <c r="E987" s="55"/>
      <c r="F987" s="70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</row>
    <row r="988" spans="1:29">
      <c r="A988" s="55"/>
      <c r="B988" s="55"/>
      <c r="C988" s="55"/>
      <c r="D988" s="55"/>
      <c r="E988" s="55"/>
      <c r="F988" s="70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</row>
    <row r="989" spans="1:29">
      <c r="A989" s="55"/>
      <c r="B989" s="55"/>
      <c r="C989" s="55"/>
      <c r="D989" s="55"/>
      <c r="E989" s="55"/>
      <c r="F989" s="70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</row>
    <row r="990" spans="1:29">
      <c r="A990" s="55"/>
      <c r="B990" s="55"/>
      <c r="C990" s="55"/>
      <c r="D990" s="55"/>
      <c r="E990" s="55"/>
      <c r="F990" s="70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</row>
    <row r="991" spans="1:29">
      <c r="A991" s="55"/>
      <c r="B991" s="55"/>
      <c r="C991" s="55"/>
      <c r="D991" s="55"/>
      <c r="E991" s="55"/>
      <c r="F991" s="70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</row>
    <row r="992" spans="1:29">
      <c r="A992" s="55"/>
      <c r="B992" s="55"/>
      <c r="C992" s="55"/>
      <c r="D992" s="55"/>
      <c r="E992" s="55"/>
      <c r="F992" s="70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</row>
    <row r="993" spans="1:29">
      <c r="A993" s="55"/>
      <c r="B993" s="55"/>
      <c r="C993" s="55"/>
      <c r="D993" s="55"/>
      <c r="E993" s="55"/>
      <c r="F993" s="70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</row>
    <row r="994" spans="1:29">
      <c r="A994" s="55"/>
      <c r="B994" s="55"/>
      <c r="C994" s="55"/>
      <c r="D994" s="55"/>
      <c r="E994" s="55"/>
      <c r="F994" s="70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</row>
    <row r="995" spans="1:29">
      <c r="A995" s="55"/>
      <c r="B995" s="55"/>
      <c r="C995" s="55"/>
      <c r="D995" s="55"/>
      <c r="E995" s="55"/>
      <c r="F995" s="70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</row>
    <row r="996" spans="1:29">
      <c r="A996" s="55"/>
      <c r="B996" s="55"/>
      <c r="C996" s="55"/>
      <c r="D996" s="55"/>
      <c r="E996" s="55"/>
      <c r="F996" s="70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</row>
    <row r="997" spans="1:29">
      <c r="A997" s="55"/>
      <c r="B997" s="55"/>
      <c r="C997" s="55"/>
      <c r="D997" s="55"/>
      <c r="E997" s="55"/>
      <c r="F997" s="70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</row>
    <row r="998" spans="1:29">
      <c r="A998" s="55"/>
      <c r="B998" s="55"/>
      <c r="C998" s="55"/>
      <c r="D998" s="55"/>
      <c r="E998" s="55"/>
      <c r="F998" s="70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</row>
    <row r="999" spans="1:29">
      <c r="A999" s="55"/>
      <c r="B999" s="55"/>
      <c r="C999" s="55"/>
      <c r="D999" s="55"/>
      <c r="E999" s="55"/>
      <c r="F999" s="70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</row>
    <row r="1000" spans="1:29">
      <c r="A1000" s="55"/>
      <c r="B1000" s="55"/>
      <c r="C1000" s="55"/>
      <c r="D1000" s="55"/>
      <c r="E1000" s="55"/>
      <c r="F1000" s="70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</row>
  </sheetData>
  <dataValidations count="2">
    <dataValidation type="list" allowBlank="1" sqref="H2:H1000">
      <formula1>$AC$7:$AC$8</formula1>
    </dataValidation>
    <dataValidation type="list" allowBlank="1" sqref="I2:I1000">
      <formula1>$AC$2:$AC$3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81CDB-3458-47B4-946B-2366CC375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Assignment</vt:lpstr>
      <vt:lpstr>الاستعلام1</vt:lpstr>
      <vt:lpstr>ورقة1</vt:lpstr>
      <vt:lpstr>المكشفين </vt:lpstr>
      <vt:lpstr>المراجعين</vt:lpstr>
      <vt:lpstr>Sheet6</vt:lpstr>
      <vt:lpstr>المشرفين</vt:lpstr>
      <vt:lpstr>المستقيلين و المستبعدين</vt:lpstr>
      <vt:lpstr>المعارين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Hesham</cp:lastModifiedBy>
  <dcterms:modified xsi:type="dcterms:W3CDTF">2022-11-28T14:14:16Z</dcterms:modified>
</cp:coreProperties>
</file>