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naka\Desktop\"/>
    </mc:Choice>
  </mc:AlternateContent>
  <xr:revisionPtr revIDLastSave="0" documentId="13_ncr:1_{A5D35885-281D-49CC-B27F-D851DBC6D2A1}" xr6:coauthVersionLast="47" xr6:coauthVersionMax="47" xr10:uidLastSave="{00000000-0000-0000-0000-000000000000}"/>
  <bookViews>
    <workbookView xWindow="5400" yWindow="790" windowWidth="12470" windowHeight="9010" xr2:uid="{422839D7-C897-4E3D-A675-7ABFEED84AE3}"/>
  </bookViews>
  <sheets>
    <sheet name="Ciddor" sheetId="1" r:id="rId1"/>
    <sheet name="Edlen" sheetId="2" r:id="rId2"/>
    <sheet name="Modified Edle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3" l="1"/>
  <c r="X9" i="3" s="1"/>
  <c r="U8" i="3"/>
  <c r="U7" i="3"/>
  <c r="X7" i="3" s="1"/>
  <c r="J17" i="3"/>
  <c r="J18" i="3" s="1"/>
  <c r="N7" i="3"/>
  <c r="AA8" i="2"/>
  <c r="AA7" i="2"/>
  <c r="AA10" i="2" s="1"/>
  <c r="AA9" i="2"/>
  <c r="X7" i="2"/>
  <c r="P7" i="2"/>
  <c r="J17" i="2"/>
  <c r="J18" i="2" s="1"/>
  <c r="AM9" i="1"/>
  <c r="AM10" i="1" s="1"/>
  <c r="AM11" i="1"/>
  <c r="AI9" i="1"/>
  <c r="AI11" i="1" s="1"/>
  <c r="AE9" i="1"/>
  <c r="AE12" i="1" s="1"/>
  <c r="U9" i="1"/>
  <c r="U8" i="1"/>
  <c r="P9" i="1"/>
  <c r="P8" i="1"/>
  <c r="J17" i="1"/>
  <c r="J18" i="1" s="1"/>
  <c r="AA11" i="2" l="1"/>
  <c r="X11" i="3"/>
  <c r="J19" i="3"/>
  <c r="J21" i="3"/>
  <c r="J20" i="3"/>
  <c r="AE11" i="1"/>
  <c r="AI13" i="1" s="1"/>
  <c r="J19" i="2"/>
  <c r="J20" i="2"/>
  <c r="J22" i="2" s="1"/>
  <c r="J21" i="2"/>
  <c r="AQ9" i="1"/>
  <c r="P13" i="1"/>
  <c r="U10" i="1" s="1"/>
  <c r="J20" i="1"/>
  <c r="J19" i="1"/>
  <c r="J21" i="1"/>
  <c r="J22" i="3" l="1"/>
  <c r="J23" i="3" s="1"/>
  <c r="N8" i="3" s="1"/>
  <c r="N9" i="3" s="1"/>
  <c r="J23" i="2"/>
  <c r="P8" i="2" s="1"/>
  <c r="P9" i="2" s="1"/>
  <c r="AE7" i="2" s="1"/>
  <c r="AE8" i="2" s="1"/>
  <c r="D12" i="2" s="1"/>
  <c r="D14" i="2" s="1"/>
  <c r="J22" i="1"/>
  <c r="J23" i="1" s="1"/>
  <c r="U11" i="1" s="1"/>
  <c r="U12" i="1" s="1"/>
  <c r="AM13" i="1" s="1"/>
  <c r="X13" i="3" l="1"/>
  <c r="AA7" i="3" s="1"/>
  <c r="D12" i="3" s="1"/>
  <c r="D14" i="3" s="1"/>
  <c r="AM15" i="1"/>
  <c r="AQ10" i="1" s="1"/>
  <c r="AQ11" i="1" l="1"/>
  <c r="AU9" i="1" s="1"/>
  <c r="C12" i="1" s="1"/>
  <c r="C14" i="1" s="1"/>
</calcChain>
</file>

<file path=xl/sharedStrings.xml><?xml version="1.0" encoding="utf-8"?>
<sst xmlns="http://schemas.openxmlformats.org/spreadsheetml/2006/main" count="194" uniqueCount="96">
  <si>
    <t>t</t>
    <phoneticPr fontId="1"/>
  </si>
  <si>
    <t>℃</t>
    <phoneticPr fontId="1"/>
  </si>
  <si>
    <t>RH</t>
    <phoneticPr fontId="1"/>
  </si>
  <si>
    <t>%</t>
    <phoneticPr fontId="1"/>
  </si>
  <si>
    <t>CO2</t>
    <phoneticPr fontId="1"/>
  </si>
  <si>
    <t>ppm</t>
    <phoneticPr fontId="1"/>
  </si>
  <si>
    <t>P</t>
    <phoneticPr fontId="1"/>
  </si>
  <si>
    <t>Pa</t>
    <phoneticPr fontId="1"/>
  </si>
  <si>
    <t>Saturation Vapor Pressure</t>
    <phoneticPr fontId="1"/>
  </si>
  <si>
    <t>K1</t>
    <phoneticPr fontId="1"/>
  </si>
  <si>
    <t>K2</t>
    <phoneticPr fontId="1"/>
  </si>
  <si>
    <t>K3</t>
    <phoneticPr fontId="1"/>
  </si>
  <si>
    <t>K4</t>
  </si>
  <si>
    <t>K5</t>
  </si>
  <si>
    <t>K6</t>
  </si>
  <si>
    <t>K7</t>
  </si>
  <si>
    <t>K8</t>
  </si>
  <si>
    <t>K9</t>
  </si>
  <si>
    <t>K10</t>
  </si>
  <si>
    <t>T</t>
    <phoneticPr fontId="1"/>
  </si>
  <si>
    <t>n_air</t>
    <phoneticPr fontId="1"/>
  </si>
  <si>
    <t>Ω</t>
    <phoneticPr fontId="1"/>
  </si>
  <si>
    <t>A</t>
    <phoneticPr fontId="1"/>
  </si>
  <si>
    <t>B</t>
    <phoneticPr fontId="1"/>
  </si>
  <si>
    <t>C</t>
    <phoneticPr fontId="1"/>
  </si>
  <si>
    <t>X</t>
    <phoneticPr fontId="1"/>
  </si>
  <si>
    <t>psv</t>
    <phoneticPr fontId="1"/>
  </si>
  <si>
    <t>Humidity for Ciddor Equation</t>
    <phoneticPr fontId="1"/>
  </si>
  <si>
    <t>α</t>
    <phoneticPr fontId="1"/>
  </si>
  <si>
    <t>β</t>
    <phoneticPr fontId="1"/>
  </si>
  <si>
    <t>γ</t>
    <phoneticPr fontId="1"/>
  </si>
  <si>
    <t>p</t>
    <phoneticPr fontId="1"/>
  </si>
  <si>
    <t>f(p,t)</t>
    <phoneticPr fontId="1"/>
  </si>
  <si>
    <t>Enhance ment Factor</t>
    <phoneticPr fontId="1"/>
  </si>
  <si>
    <t>Mole Fraction</t>
    <phoneticPr fontId="1"/>
  </si>
  <si>
    <t>xv</t>
    <phoneticPr fontId="1"/>
  </si>
  <si>
    <t>Ciddor Calculation</t>
    <phoneticPr fontId="1"/>
  </si>
  <si>
    <t>Constants</t>
    <phoneticPr fontId="1"/>
  </si>
  <si>
    <t>w0</t>
    <phoneticPr fontId="1"/>
  </si>
  <si>
    <t>w1</t>
    <phoneticPr fontId="1"/>
  </si>
  <si>
    <t>w2</t>
    <phoneticPr fontId="1"/>
  </si>
  <si>
    <t>w3</t>
    <phoneticPr fontId="1"/>
  </si>
  <si>
    <t>k0</t>
    <phoneticPr fontId="1"/>
  </si>
  <si>
    <t>k1</t>
    <phoneticPr fontId="1"/>
  </si>
  <si>
    <t>k2</t>
  </si>
  <si>
    <t>k3</t>
  </si>
  <si>
    <t>a0</t>
    <phoneticPr fontId="1"/>
  </si>
  <si>
    <t>a1</t>
    <phoneticPr fontId="1"/>
  </si>
  <si>
    <t>a2</t>
    <phoneticPr fontId="1"/>
  </si>
  <si>
    <t>b0</t>
    <phoneticPr fontId="1"/>
  </si>
  <si>
    <t>b1</t>
    <phoneticPr fontId="1"/>
  </si>
  <si>
    <t>c0</t>
    <phoneticPr fontId="1"/>
  </si>
  <si>
    <t>c1</t>
    <phoneticPr fontId="1"/>
  </si>
  <si>
    <t>d</t>
    <phoneticPr fontId="1"/>
  </si>
  <si>
    <t>e</t>
    <phoneticPr fontId="1"/>
  </si>
  <si>
    <t>pR1</t>
    <phoneticPr fontId="1"/>
  </si>
  <si>
    <t>Za</t>
    <phoneticPr fontId="1"/>
  </si>
  <si>
    <t>pvs</t>
    <phoneticPr fontId="1"/>
  </si>
  <si>
    <t>R</t>
    <phoneticPr fontId="1"/>
  </si>
  <si>
    <t>Mv</t>
    <phoneticPr fontId="1"/>
  </si>
  <si>
    <t>TR1</t>
    <phoneticPr fontId="1"/>
  </si>
  <si>
    <t>λ</t>
    <phoneticPr fontId="1"/>
  </si>
  <si>
    <t>um</t>
    <phoneticPr fontId="1"/>
  </si>
  <si>
    <t>S</t>
    <phoneticPr fontId="1"/>
  </si>
  <si>
    <t>Intermediate Results</t>
    <phoneticPr fontId="1"/>
  </si>
  <si>
    <t>ros</t>
    <phoneticPr fontId="1"/>
  </si>
  <si>
    <t>rvs</t>
    <phoneticPr fontId="1"/>
  </si>
  <si>
    <t>Ma</t>
    <phoneticPr fontId="1"/>
  </si>
  <si>
    <t>raxs</t>
    <phoneticPr fontId="1"/>
  </si>
  <si>
    <t>CO2 related</t>
    <phoneticPr fontId="1"/>
  </si>
  <si>
    <t>xCO2</t>
    <phoneticPr fontId="1"/>
  </si>
  <si>
    <t>Compressibility</t>
    <phoneticPr fontId="1"/>
  </si>
  <si>
    <t>Zm</t>
    <phoneticPr fontId="1"/>
  </si>
  <si>
    <t>Density Components</t>
    <phoneticPr fontId="1"/>
  </si>
  <si>
    <t>ρv</t>
    <phoneticPr fontId="1"/>
  </si>
  <si>
    <t>ρa</t>
    <phoneticPr fontId="1"/>
  </si>
  <si>
    <t>ρaxs</t>
    <phoneticPr fontId="1"/>
  </si>
  <si>
    <t>Refractive Index</t>
    <phoneticPr fontId="1"/>
  </si>
  <si>
    <t>n</t>
    <phoneticPr fontId="1"/>
  </si>
  <si>
    <t>Edlen Equation</t>
    <phoneticPr fontId="1"/>
  </si>
  <si>
    <t>Humidity for Edlen Equation</t>
    <phoneticPr fontId="1"/>
  </si>
  <si>
    <t>pv</t>
    <phoneticPr fontId="1"/>
  </si>
  <si>
    <t>Edlen Calculation of refractive index of air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</si>
  <si>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</si>
  <si>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</si>
  <si>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</si>
  <si>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</si>
  <si>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ns</t>
    <phoneticPr fontId="1"/>
  </si>
  <si>
    <t>ntp</t>
    <phoneticPr fontId="1"/>
  </si>
  <si>
    <t>Calculate final result</t>
    <phoneticPr fontId="1"/>
  </si>
  <si>
    <t>Refractive Index of Air</t>
    <phoneticPr fontId="1"/>
  </si>
  <si>
    <t>Wavelength in Ambient Air</t>
    <phoneticPr fontId="1"/>
  </si>
  <si>
    <t>Wavelength in Ambient Air</t>
    <phoneticPr fontId="1"/>
  </si>
  <si>
    <t>Modified Edlen Equation</t>
    <phoneticPr fontId="1"/>
  </si>
  <si>
    <t>Calculation of Modified Edlen Equation</t>
    <phoneticPr fontId="1"/>
  </si>
  <si>
    <t>n(T,P)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</si>
</sst>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E+00"/>
    <numFmt numFmtId="177" formatCode="0.0000E+00"/>
    <numFmt numFmtId="178" formatCode="0.0000000000"/>
    <numFmt numFmtId="179" formatCode="0.00000E+00"/>
    <numFmt numFmtId="182" formatCode="0.000000"/>
    <numFmt numFmtId="184" formatCode="0.00000000"/>
    <numFmt numFmtId="185" formatCode="0.000000000"/>
    <numFmt numFmtId="186" formatCode="0.00000000000"/>
    <numFmt numFmtId="187" formatCode="0.000000000000"/>
    <numFmt numFmtId="192" formatCode="0.000000000000000_ "/>
    <numFmt numFmtId="195" formatCode="0.0000000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11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9" fontId="0" fillId="0" borderId="0" xfId="0" applyNumberFormat="1">
      <alignment vertical="center"/>
    </xf>
    <xf numFmtId="184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86" fontId="0" fillId="3" borderId="0" xfId="0" applyNumberFormat="1" applyFill="1">
      <alignment vertical="center"/>
    </xf>
    <xf numFmtId="187" fontId="0" fillId="3" borderId="0" xfId="0" applyNumberFormat="1" applyFill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92" fontId="0" fillId="0" borderId="0" xfId="0" applyNumberFormat="1">
      <alignment vertical="center"/>
    </xf>
    <xf numFmtId="186" fontId="0" fillId="4" borderId="0" xfId="0" applyNumberFormat="1" applyFill="1">
      <alignment vertical="center"/>
    </xf>
    <xf numFmtId="11" fontId="0" fillId="0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195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A0FD-50DC-4741-A3CD-5BCE2DC8EC57}">
  <dimension ref="B5:AU41"/>
  <sheetViews>
    <sheetView tabSelected="1" zoomScaleNormal="100" workbookViewId="0">
      <selection activeCell="C1" sqref="C1"/>
    </sheetView>
  </sheetViews>
  <sheetFormatPr defaultRowHeight="18" x14ac:dyDescent="0.55000000000000004"/>
  <cols>
    <col min="3" max="3" width="14.25" bestFit="1" customWidth="1"/>
    <col min="10" max="10" width="14.25" bestFit="1" customWidth="1"/>
    <col min="16" max="16" width="9.25" bestFit="1" customWidth="1"/>
    <col min="21" max="21" width="9.25" bestFit="1" customWidth="1"/>
    <col min="27" max="27" width="12" bestFit="1" customWidth="1"/>
    <col min="31" max="31" width="14.25" bestFit="1" customWidth="1"/>
    <col min="35" max="35" width="14.25" bestFit="1" customWidth="1"/>
    <col min="39" max="39" width="15.33203125" bestFit="1" customWidth="1"/>
    <col min="43" max="43" width="19.25" bestFit="1" customWidth="1"/>
    <col min="47" max="47" width="13.25" bestFit="1" customWidth="1"/>
  </cols>
  <sheetData>
    <row r="5" spans="2:47" x14ac:dyDescent="0.55000000000000004">
      <c r="B5" t="s">
        <v>0</v>
      </c>
      <c r="C5" s="1">
        <v>20</v>
      </c>
      <c r="D5" t="s">
        <v>1</v>
      </c>
      <c r="I5" t="s">
        <v>8</v>
      </c>
      <c r="O5" t="s">
        <v>27</v>
      </c>
      <c r="Z5" t="s">
        <v>36</v>
      </c>
    </row>
    <row r="6" spans="2:47" x14ac:dyDescent="0.55000000000000004">
      <c r="B6" t="s">
        <v>6</v>
      </c>
      <c r="C6" s="1">
        <v>101325</v>
      </c>
      <c r="D6" t="s">
        <v>7</v>
      </c>
    </row>
    <row r="7" spans="2:47" x14ac:dyDescent="0.55000000000000004">
      <c r="B7" t="s">
        <v>2</v>
      </c>
      <c r="C7" s="1">
        <v>50</v>
      </c>
      <c r="D7" t="s">
        <v>3</v>
      </c>
      <c r="I7" t="s">
        <v>9</v>
      </c>
      <c r="J7" s="2">
        <v>1167.0521452800001</v>
      </c>
      <c r="O7" t="s">
        <v>33</v>
      </c>
      <c r="T7" t="s">
        <v>34</v>
      </c>
    </row>
    <row r="8" spans="2:47" x14ac:dyDescent="0.55000000000000004">
      <c r="B8" t="s">
        <v>4</v>
      </c>
      <c r="C8" s="1">
        <v>450</v>
      </c>
      <c r="D8" t="s">
        <v>5</v>
      </c>
      <c r="I8" t="s">
        <v>10</v>
      </c>
      <c r="J8" s="2">
        <v>-724213.16703200003</v>
      </c>
      <c r="O8" t="s">
        <v>0</v>
      </c>
      <c r="P8">
        <f>C5</f>
        <v>20</v>
      </c>
      <c r="T8" t="s">
        <v>31</v>
      </c>
      <c r="U8">
        <f>C6</f>
        <v>101325</v>
      </c>
      <c r="Z8" t="s">
        <v>37</v>
      </c>
      <c r="AD8" t="s">
        <v>64</v>
      </c>
      <c r="AH8" t="s">
        <v>69</v>
      </c>
      <c r="AL8" t="s">
        <v>71</v>
      </c>
      <c r="AP8" t="s">
        <v>73</v>
      </c>
      <c r="AT8" t="s">
        <v>77</v>
      </c>
    </row>
    <row r="9" spans="2:47" x14ac:dyDescent="0.55000000000000004">
      <c r="I9" t="s">
        <v>11</v>
      </c>
      <c r="J9" s="2">
        <v>-17.073846940100001</v>
      </c>
      <c r="O9" t="s">
        <v>31</v>
      </c>
      <c r="P9">
        <f>C6</f>
        <v>101325</v>
      </c>
      <c r="T9" t="s">
        <v>2</v>
      </c>
      <c r="U9">
        <f>C7</f>
        <v>50</v>
      </c>
      <c r="Z9" t="s">
        <v>38</v>
      </c>
      <c r="AA9">
        <v>295.23500000000001</v>
      </c>
      <c r="AD9" t="s">
        <v>63</v>
      </c>
      <c r="AE9" s="15">
        <f>1/(C10^2)</f>
        <v>2.495701154760924</v>
      </c>
      <c r="AH9" t="s">
        <v>70</v>
      </c>
      <c r="AI9">
        <f>C8</f>
        <v>450</v>
      </c>
      <c r="AL9" t="s">
        <v>0</v>
      </c>
      <c r="AM9">
        <f>C5</f>
        <v>20</v>
      </c>
      <c r="AP9" t="s">
        <v>76</v>
      </c>
      <c r="AQ9" s="6">
        <f>AA32*AI11/(AA35*AA39*AA33)</f>
        <v>1.2254638267838083</v>
      </c>
      <c r="AT9" t="s">
        <v>78</v>
      </c>
      <c r="AU9" s="9">
        <f>1+(AQ11/AQ9)*AI13+(AQ10/AA37)*AE12</f>
        <v>1.0002713727468782</v>
      </c>
    </row>
    <row r="10" spans="2:47" x14ac:dyDescent="0.55000000000000004">
      <c r="B10" t="s">
        <v>61</v>
      </c>
      <c r="C10" s="1">
        <v>0.63300000000000001</v>
      </c>
      <c r="D10" t="s">
        <v>62</v>
      </c>
      <c r="I10" t="s">
        <v>12</v>
      </c>
      <c r="J10" s="2">
        <v>12020.8247025</v>
      </c>
      <c r="O10" t="s">
        <v>28</v>
      </c>
      <c r="P10">
        <v>1.0006200000000001</v>
      </c>
      <c r="T10" t="s">
        <v>32</v>
      </c>
      <c r="U10" s="2">
        <f>P13</f>
        <v>1.004025605</v>
      </c>
      <c r="Z10" t="s">
        <v>39</v>
      </c>
      <c r="AA10">
        <v>2.6421999999999999</v>
      </c>
      <c r="AL10" t="s">
        <v>19</v>
      </c>
      <c r="AM10">
        <f>AM9+273.15</f>
        <v>293.14999999999998</v>
      </c>
      <c r="AP10" t="s">
        <v>74</v>
      </c>
      <c r="AQ10" s="10">
        <f>AM13*AM11*AA41/(AM15*AA39*AM10)</f>
        <v>8.6828424216302616E-3</v>
      </c>
    </row>
    <row r="11" spans="2:47" x14ac:dyDescent="0.55000000000000004">
      <c r="I11" t="s">
        <v>13</v>
      </c>
      <c r="J11" s="2">
        <v>-3232555.03223</v>
      </c>
      <c r="O11" t="s">
        <v>29</v>
      </c>
      <c r="P11" s="2">
        <v>3.1400000000000003E-8</v>
      </c>
      <c r="T11" t="s">
        <v>26</v>
      </c>
      <c r="U11" s="2">
        <f>J23</f>
        <v>2339.2147667816639</v>
      </c>
      <c r="Z11" t="s">
        <v>40</v>
      </c>
      <c r="AA11">
        <v>-3.2379999999999999E-2</v>
      </c>
      <c r="AD11" t="s">
        <v>65</v>
      </c>
      <c r="AE11" s="6">
        <f>(10^(-8))*((AA15/(AA14-AE9))+(AA17/(AA16-AE9)))</f>
        <v>2.7653021043558859E-4</v>
      </c>
      <c r="AH11" t="s">
        <v>67</v>
      </c>
      <c r="AI11" s="10">
        <f>0.0289635+(0.000000012011)*(AI9-400)</f>
        <v>2.896410055E-2</v>
      </c>
      <c r="AL11" t="s">
        <v>31</v>
      </c>
      <c r="AM11">
        <f>C6</f>
        <v>101325</v>
      </c>
      <c r="AP11" t="s">
        <v>75</v>
      </c>
      <c r="AQ11" s="23">
        <f>(1-AM13)*AM11*AI11/(AM15*AA39*AM10)</f>
        <v>1.1905749223071571</v>
      </c>
    </row>
    <row r="12" spans="2:47" x14ac:dyDescent="0.55000000000000004">
      <c r="B12" t="s">
        <v>90</v>
      </c>
      <c r="C12" s="18">
        <f>AU9</f>
        <v>1.0002713727468782</v>
      </c>
      <c r="I12" t="s">
        <v>14</v>
      </c>
      <c r="J12" s="2">
        <v>14.915108613499999</v>
      </c>
      <c r="O12" t="s">
        <v>30</v>
      </c>
      <c r="P12" s="2">
        <v>5.6000000000000004E-7</v>
      </c>
      <c r="T12" t="s">
        <v>35</v>
      </c>
      <c r="U12" s="3">
        <f>(U9/100)*U10*U11/U8</f>
        <v>1.1589595467273102E-2</v>
      </c>
      <c r="Z12" t="s">
        <v>41</v>
      </c>
      <c r="AA12">
        <v>4.0280000000000003E-3</v>
      </c>
      <c r="AD12" t="s">
        <v>66</v>
      </c>
      <c r="AE12" s="6">
        <f>(0.00000001022)*(AA9+AA10*AE9+AA11*(AE9^2)+AA12*(AE9^3))</f>
        <v>3.0832725702144086E-6</v>
      </c>
    </row>
    <row r="13" spans="2:47" x14ac:dyDescent="0.55000000000000004">
      <c r="I13" t="s">
        <v>15</v>
      </c>
      <c r="J13" s="2">
        <v>-4823.2657361600004</v>
      </c>
      <c r="O13" t="s">
        <v>32</v>
      </c>
      <c r="P13" s="3">
        <f>P10+P11*P9+P12*P8^2</f>
        <v>1.004025605</v>
      </c>
      <c r="AH13" t="s">
        <v>68</v>
      </c>
      <c r="AI13" s="10">
        <f>AE11*(1+5.34*10^(-7)*(AI9-450))</f>
        <v>2.7653021043558859E-4</v>
      </c>
      <c r="AL13" t="s">
        <v>35</v>
      </c>
      <c r="AM13" s="16">
        <f>U12</f>
        <v>1.1589595467273102E-2</v>
      </c>
      <c r="AQ13" s="17"/>
    </row>
    <row r="14" spans="2:47" x14ac:dyDescent="0.55000000000000004">
      <c r="B14" s="21" t="s">
        <v>92</v>
      </c>
      <c r="C14" s="22">
        <f>C10/C12</f>
        <v>0.63282826765470435</v>
      </c>
      <c r="I14" t="s">
        <v>16</v>
      </c>
      <c r="J14" s="2">
        <v>405113.40542099997</v>
      </c>
      <c r="Z14" t="s">
        <v>42</v>
      </c>
      <c r="AA14">
        <v>238.01849999999999</v>
      </c>
      <c r="AQ14" s="14"/>
    </row>
    <row r="15" spans="2:47" x14ac:dyDescent="0.55000000000000004">
      <c r="I15" t="s">
        <v>17</v>
      </c>
      <c r="J15" s="2">
        <v>-0.23855557567800001</v>
      </c>
      <c r="Z15" t="s">
        <v>43</v>
      </c>
      <c r="AA15">
        <v>5792105</v>
      </c>
      <c r="AL15" t="s">
        <v>72</v>
      </c>
      <c r="AM15" s="11">
        <f>1-(AM11/AM10)*(AA19+AA20*AM9+AA21*AM9^2+(AA23+AA24*AM9)*AM13+(AA26+AA27*AM9)*AM13^2)+((AM11/AM10)^2)*(AA29+AA30*AM13^2)</f>
        <v>0.99961476674241023</v>
      </c>
    </row>
    <row r="16" spans="2:47" x14ac:dyDescent="0.55000000000000004">
      <c r="I16" t="s">
        <v>18</v>
      </c>
      <c r="J16" s="2">
        <v>650.17534844800002</v>
      </c>
      <c r="Z16" t="s">
        <v>44</v>
      </c>
      <c r="AA16">
        <v>57.362000000000002</v>
      </c>
    </row>
    <row r="17" spans="9:27" x14ac:dyDescent="0.55000000000000004">
      <c r="I17" t="s">
        <v>19</v>
      </c>
      <c r="J17">
        <f>C5+273.15</f>
        <v>293.14999999999998</v>
      </c>
      <c r="Z17" t="s">
        <v>45</v>
      </c>
      <c r="AA17">
        <v>167917</v>
      </c>
    </row>
    <row r="18" spans="9:27" x14ac:dyDescent="0.55000000000000004">
      <c r="I18" t="s">
        <v>21</v>
      </c>
      <c r="J18" s="2">
        <f>J17+J15/(J17-J16)</f>
        <v>293.15066817545789</v>
      </c>
    </row>
    <row r="19" spans="9:27" x14ac:dyDescent="0.55000000000000004">
      <c r="I19" t="s">
        <v>22</v>
      </c>
      <c r="J19" s="2">
        <f>J18^2+J7*J18+J8</f>
        <v>-296153.73659584904</v>
      </c>
      <c r="Z19" t="s">
        <v>46</v>
      </c>
      <c r="AA19" s="7">
        <v>1.58123E-6</v>
      </c>
    </row>
    <row r="20" spans="9:27" x14ac:dyDescent="0.55000000000000004">
      <c r="I20" t="s">
        <v>23</v>
      </c>
      <c r="J20" s="2">
        <f>J9*J18^2+J10*J18+J11</f>
        <v>-1175922.7886491732</v>
      </c>
      <c r="Z20" t="s">
        <v>47</v>
      </c>
      <c r="AA20" s="5">
        <v>-2.9331E-8</v>
      </c>
    </row>
    <row r="21" spans="9:27" x14ac:dyDescent="0.55000000000000004">
      <c r="I21" t="s">
        <v>24</v>
      </c>
      <c r="J21" s="2">
        <f>J12*J18^2+J13*J18+J14</f>
        <v>272934.208094751</v>
      </c>
      <c r="Z21" t="s">
        <v>48</v>
      </c>
      <c r="AA21" s="5">
        <v>1.1043E-10</v>
      </c>
    </row>
    <row r="22" spans="9:27" x14ac:dyDescent="0.55000000000000004">
      <c r="I22" t="s">
        <v>25</v>
      </c>
      <c r="J22" s="2">
        <f>-J20+SQRT(J20^2-4*J19*J21)</f>
        <v>2482106.6758384183</v>
      </c>
    </row>
    <row r="23" spans="9:27" x14ac:dyDescent="0.55000000000000004">
      <c r="I23" t="s">
        <v>26</v>
      </c>
      <c r="J23" s="8">
        <f>(10^6)*(2*J21/J22)^4</f>
        <v>2339.2147667816639</v>
      </c>
      <c r="Z23" t="s">
        <v>49</v>
      </c>
      <c r="AA23" s="4">
        <v>5.7069999999999997E-6</v>
      </c>
    </row>
    <row r="24" spans="9:27" x14ac:dyDescent="0.55000000000000004">
      <c r="Z24" t="s">
        <v>50</v>
      </c>
      <c r="AA24" s="4">
        <v>-2.051E-8</v>
      </c>
    </row>
    <row r="26" spans="9:27" x14ac:dyDescent="0.55000000000000004">
      <c r="Z26" t="s">
        <v>51</v>
      </c>
      <c r="AA26" s="5">
        <v>1.9898E-4</v>
      </c>
    </row>
    <row r="27" spans="9:27" x14ac:dyDescent="0.55000000000000004">
      <c r="Z27" t="s">
        <v>52</v>
      </c>
      <c r="AA27" s="4">
        <v>-2.3760000000000002E-6</v>
      </c>
    </row>
    <row r="29" spans="9:27" x14ac:dyDescent="0.55000000000000004">
      <c r="Z29" t="s">
        <v>53</v>
      </c>
      <c r="AA29" s="2">
        <v>1.8300000000000001E-11</v>
      </c>
    </row>
    <row r="30" spans="9:27" x14ac:dyDescent="0.55000000000000004">
      <c r="Z30" t="s">
        <v>54</v>
      </c>
      <c r="AA30" s="2">
        <v>-7.6500000000000007E-9</v>
      </c>
    </row>
    <row r="32" spans="9:27" x14ac:dyDescent="0.55000000000000004">
      <c r="Z32" t="s">
        <v>55</v>
      </c>
      <c r="AA32">
        <v>101325</v>
      </c>
    </row>
    <row r="33" spans="26:27" x14ac:dyDescent="0.55000000000000004">
      <c r="Z33" t="s">
        <v>60</v>
      </c>
      <c r="AA33">
        <v>288.14999999999998</v>
      </c>
    </row>
    <row r="35" spans="26:27" x14ac:dyDescent="0.55000000000000004">
      <c r="Z35" t="s">
        <v>56</v>
      </c>
      <c r="AA35">
        <v>0.99959221149999999</v>
      </c>
    </row>
    <row r="37" spans="26:27" x14ac:dyDescent="0.55000000000000004">
      <c r="Z37" t="s">
        <v>57</v>
      </c>
      <c r="AA37">
        <v>9.8593799999999992E-3</v>
      </c>
    </row>
    <row r="39" spans="26:27" x14ac:dyDescent="0.55000000000000004">
      <c r="Z39" t="s">
        <v>58</v>
      </c>
      <c r="AA39">
        <v>8.3144720000000003</v>
      </c>
    </row>
    <row r="41" spans="26:27" x14ac:dyDescent="0.55000000000000004">
      <c r="Z41" t="s">
        <v>59</v>
      </c>
      <c r="AA41">
        <v>1.8015E-2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AED-3478-4BD4-987F-FDF88838985D}">
  <dimension ref="C2:AE23"/>
  <sheetViews>
    <sheetView zoomScale="90" zoomScaleNormal="90" workbookViewId="0">
      <selection activeCell="A10" sqref="A10"/>
    </sheetView>
  </sheetViews>
  <sheetFormatPr defaultRowHeight="18" x14ac:dyDescent="0.55000000000000004"/>
  <cols>
    <col min="4" max="4" width="14.25" bestFit="1" customWidth="1"/>
    <col min="10" max="10" width="14.25" bestFit="1" customWidth="1"/>
    <col min="16" max="16" width="14.25" bestFit="1" customWidth="1"/>
    <col min="31" max="31" width="11" bestFit="1" customWidth="1"/>
  </cols>
  <sheetData>
    <row r="2" spans="3:31" x14ac:dyDescent="0.55000000000000004">
      <c r="C2" t="s">
        <v>79</v>
      </c>
    </row>
    <row r="5" spans="3:31" x14ac:dyDescent="0.55000000000000004">
      <c r="C5" t="s">
        <v>0</v>
      </c>
      <c r="D5" s="1">
        <v>20</v>
      </c>
      <c r="E5" t="s">
        <v>1</v>
      </c>
      <c r="I5" t="s">
        <v>8</v>
      </c>
      <c r="O5" t="s">
        <v>80</v>
      </c>
      <c r="S5" t="s">
        <v>82</v>
      </c>
      <c r="AD5" t="s">
        <v>89</v>
      </c>
    </row>
    <row r="6" spans="3:31" x14ac:dyDescent="0.55000000000000004">
      <c r="C6" t="s">
        <v>6</v>
      </c>
      <c r="D6" s="1">
        <v>101325</v>
      </c>
      <c r="E6" t="s">
        <v>7</v>
      </c>
    </row>
    <row r="7" spans="3:31" x14ac:dyDescent="0.55000000000000004">
      <c r="C7" t="s">
        <v>2</v>
      </c>
      <c r="D7" s="1">
        <v>50</v>
      </c>
      <c r="E7" t="s">
        <v>3</v>
      </c>
      <c r="I7" t="s">
        <v>9</v>
      </c>
      <c r="J7" s="2">
        <v>1167.0521452800001</v>
      </c>
      <c r="O7" t="s">
        <v>2</v>
      </c>
      <c r="P7">
        <f>D7</f>
        <v>50</v>
      </c>
      <c r="S7" t="s">
        <v>22</v>
      </c>
      <c r="T7">
        <v>8342.5400000000009</v>
      </c>
      <c r="W7" t="s">
        <v>63</v>
      </c>
      <c r="X7">
        <f>1/(D10^2)</f>
        <v>2.495701154760924</v>
      </c>
      <c r="Z7" t="s">
        <v>31</v>
      </c>
      <c r="AA7">
        <f>D6</f>
        <v>101325</v>
      </c>
      <c r="AD7" t="s">
        <v>81</v>
      </c>
      <c r="AE7">
        <f>P9</f>
        <v>1169.607383390832</v>
      </c>
    </row>
    <row r="8" spans="3:31" x14ac:dyDescent="0.55000000000000004">
      <c r="C8" t="s">
        <v>4</v>
      </c>
      <c r="D8" s="1">
        <v>450</v>
      </c>
      <c r="E8" t="s">
        <v>5</v>
      </c>
      <c r="I8" t="s">
        <v>10</v>
      </c>
      <c r="J8" s="2">
        <v>-724213.16703200003</v>
      </c>
      <c r="O8" t="s">
        <v>26</v>
      </c>
      <c r="P8" s="13">
        <f>J23</f>
        <v>2339.2147667816639</v>
      </c>
      <c r="S8" t="s">
        <v>23</v>
      </c>
      <c r="T8">
        <v>2406147</v>
      </c>
      <c r="Z8" t="s">
        <v>0</v>
      </c>
      <c r="AA8">
        <f>D5</f>
        <v>20</v>
      </c>
      <c r="AD8" t="s">
        <v>78</v>
      </c>
      <c r="AE8" s="8">
        <f>AA11-(10^(-10))*(292.75/(AA8+273.15))*(3.7345-0.0401*X7)*AE7</f>
        <v>1.0002713744663438</v>
      </c>
    </row>
    <row r="9" spans="3:31" x14ac:dyDescent="0.55000000000000004">
      <c r="I9" t="s">
        <v>11</v>
      </c>
      <c r="J9" s="2">
        <v>-17.073846940100001</v>
      </c>
      <c r="O9" t="s">
        <v>81</v>
      </c>
      <c r="P9" s="6">
        <f>(P7/100)*P8</f>
        <v>1169.607383390832</v>
      </c>
      <c r="S9" t="s">
        <v>24</v>
      </c>
      <c r="T9">
        <v>15998</v>
      </c>
      <c r="Z9" t="s">
        <v>87</v>
      </c>
      <c r="AA9">
        <f>1+(10^(-8))*(T7+T8/(130-X7)+T9/(38.9-X7))</f>
        <v>1.000276530985051</v>
      </c>
    </row>
    <row r="10" spans="3:31" x14ac:dyDescent="0.55000000000000004">
      <c r="C10" t="s">
        <v>61</v>
      </c>
      <c r="D10" s="1">
        <v>0.63300000000000001</v>
      </c>
      <c r="E10" t="s">
        <v>62</v>
      </c>
      <c r="I10" t="s">
        <v>12</v>
      </c>
      <c r="J10" s="2">
        <v>12020.8247025</v>
      </c>
      <c r="S10" t="s">
        <v>83</v>
      </c>
      <c r="T10" s="20">
        <v>96095.43</v>
      </c>
      <c r="Z10" t="s">
        <v>25</v>
      </c>
      <c r="AA10">
        <f>(1+(10^(-8))*(T11-T12*AA8)*AA7)/(1+T13*AA8)</f>
        <v>0.93215928462943276</v>
      </c>
    </row>
    <row r="11" spans="3:31" x14ac:dyDescent="0.55000000000000004">
      <c r="I11" t="s">
        <v>13</v>
      </c>
      <c r="J11" s="2">
        <v>-3232555.03223</v>
      </c>
      <c r="S11" t="s">
        <v>84</v>
      </c>
      <c r="T11">
        <v>0.60099999999999998</v>
      </c>
      <c r="Z11" t="s">
        <v>88</v>
      </c>
      <c r="AA11">
        <f>1+AA7*(AA9-1)*AA10/T10</f>
        <v>1.0002717989710457</v>
      </c>
    </row>
    <row r="12" spans="3:31" x14ac:dyDescent="0.55000000000000004">
      <c r="C12" t="s">
        <v>90</v>
      </c>
      <c r="D12" s="18">
        <f>AE8</f>
        <v>1.0002713744663438</v>
      </c>
      <c r="I12" t="s">
        <v>14</v>
      </c>
      <c r="J12" s="2">
        <v>14.915108613499999</v>
      </c>
      <c r="P12" s="2"/>
      <c r="S12" t="s">
        <v>85</v>
      </c>
      <c r="T12">
        <v>9.7199999999999995E-3</v>
      </c>
    </row>
    <row r="13" spans="3:31" x14ac:dyDescent="0.55000000000000004">
      <c r="I13" t="s">
        <v>15</v>
      </c>
      <c r="J13" s="2">
        <v>-4823.2657361600004</v>
      </c>
      <c r="P13" s="2"/>
      <c r="S13" t="s">
        <v>86</v>
      </c>
      <c r="T13" s="12">
        <v>3.6610000000000002E-3</v>
      </c>
    </row>
    <row r="14" spans="3:31" x14ac:dyDescent="0.55000000000000004">
      <c r="C14" s="21" t="s">
        <v>91</v>
      </c>
      <c r="D14" s="22">
        <f>D10/D12</f>
        <v>0.63282826656687308</v>
      </c>
      <c r="E14" t="s">
        <v>62</v>
      </c>
      <c r="I14" t="s">
        <v>16</v>
      </c>
      <c r="J14" s="2">
        <v>405113.40542099997</v>
      </c>
      <c r="P14" s="19"/>
    </row>
    <row r="15" spans="3:31" x14ac:dyDescent="0.55000000000000004">
      <c r="I15" t="s">
        <v>17</v>
      </c>
      <c r="J15" s="2">
        <v>-0.23855557567800001</v>
      </c>
    </row>
    <row r="16" spans="3:31" x14ac:dyDescent="0.55000000000000004">
      <c r="I16" t="s">
        <v>18</v>
      </c>
      <c r="J16" s="2">
        <v>650.17534844800002</v>
      </c>
    </row>
    <row r="17" spans="9:10" x14ac:dyDescent="0.55000000000000004">
      <c r="I17" t="s">
        <v>19</v>
      </c>
      <c r="J17">
        <f>D5+273.15</f>
        <v>293.14999999999998</v>
      </c>
    </row>
    <row r="18" spans="9:10" x14ac:dyDescent="0.55000000000000004">
      <c r="I18" t="s">
        <v>21</v>
      </c>
      <c r="J18" s="2">
        <f>J17+J15/(J17-J16)</f>
        <v>293.15066817545789</v>
      </c>
    </row>
    <row r="19" spans="9:10" x14ac:dyDescent="0.55000000000000004">
      <c r="I19" t="s">
        <v>22</v>
      </c>
      <c r="J19" s="2">
        <f>J18^2+J7*J18+J8</f>
        <v>-296153.73659584904</v>
      </c>
    </row>
    <row r="20" spans="9:10" x14ac:dyDescent="0.55000000000000004">
      <c r="I20" t="s">
        <v>23</v>
      </c>
      <c r="J20" s="2">
        <f>J9*J18^2+J10*J18+J11</f>
        <v>-1175922.7886491732</v>
      </c>
    </row>
    <row r="21" spans="9:10" x14ac:dyDescent="0.55000000000000004">
      <c r="I21" t="s">
        <v>24</v>
      </c>
      <c r="J21" s="2">
        <f>J12*J18^2+J13*J18+J14</f>
        <v>272934.208094751</v>
      </c>
    </row>
    <row r="22" spans="9:10" x14ac:dyDescent="0.55000000000000004">
      <c r="I22" t="s">
        <v>25</v>
      </c>
      <c r="J22" s="2">
        <f>-J20+SQRT(J20^2-4*J19*J21)</f>
        <v>2482106.6758384183</v>
      </c>
    </row>
    <row r="23" spans="9:10" x14ac:dyDescent="0.55000000000000004">
      <c r="I23" t="s">
        <v>26</v>
      </c>
      <c r="J23" s="8">
        <f>(10^6)*(2*J21/J22)^4</f>
        <v>2339.2147667816639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CCAB-79BB-42B9-8B5B-802963B5FB29}">
  <dimension ref="C2:AA23"/>
  <sheetViews>
    <sheetView topLeftCell="T1" zoomScale="90" zoomScaleNormal="90" workbookViewId="0">
      <selection activeCell="X8" sqref="X8"/>
    </sheetView>
  </sheetViews>
  <sheetFormatPr defaultRowHeight="18" x14ac:dyDescent="0.55000000000000004"/>
  <cols>
    <col min="4" max="4" width="14.25" bestFit="1" customWidth="1"/>
    <col min="10" max="10" width="14.25" bestFit="1" customWidth="1"/>
    <col min="14" max="14" width="14.25" bestFit="1" customWidth="1"/>
    <col min="27" max="27" width="13.25" bestFit="1" customWidth="1"/>
  </cols>
  <sheetData>
    <row r="2" spans="3:27" x14ac:dyDescent="0.55000000000000004">
      <c r="C2" t="s">
        <v>93</v>
      </c>
    </row>
    <row r="5" spans="3:27" x14ac:dyDescent="0.55000000000000004">
      <c r="C5" t="s">
        <v>0</v>
      </c>
      <c r="D5" s="1">
        <v>20</v>
      </c>
      <c r="E5" t="s">
        <v>1</v>
      </c>
      <c r="I5" t="s">
        <v>8</v>
      </c>
      <c r="M5" t="s">
        <v>80</v>
      </c>
      <c r="Q5" t="s">
        <v>94</v>
      </c>
    </row>
    <row r="6" spans="3:27" x14ac:dyDescent="0.55000000000000004">
      <c r="C6" t="s">
        <v>6</v>
      </c>
      <c r="D6" s="1">
        <v>101325</v>
      </c>
      <c r="E6" t="s">
        <v>7</v>
      </c>
    </row>
    <row r="7" spans="3:27" x14ac:dyDescent="0.55000000000000004">
      <c r="C7" t="s">
        <v>2</v>
      </c>
      <c r="D7" s="1">
        <v>50</v>
      </c>
      <c r="E7" t="s">
        <v>3</v>
      </c>
      <c r="I7" t="s">
        <v>9</v>
      </c>
      <c r="J7" s="2">
        <v>1167.0521452800001</v>
      </c>
      <c r="M7" t="s">
        <v>2</v>
      </c>
      <c r="N7">
        <f>D7</f>
        <v>50</v>
      </c>
      <c r="Q7" t="s">
        <v>22</v>
      </c>
      <c r="R7">
        <v>8342.5400000000009</v>
      </c>
      <c r="T7" t="s">
        <v>0</v>
      </c>
      <c r="U7">
        <f>D5</f>
        <v>20</v>
      </c>
      <c r="W7" t="s">
        <v>25</v>
      </c>
      <c r="X7">
        <f>(1+(10^(-8))*(R11-R12*U7)*U8)/(1+R13*U7)</f>
        <v>0.93215928462943276</v>
      </c>
      <c r="Z7" t="s">
        <v>20</v>
      </c>
      <c r="AA7" s="9">
        <f>X11-(10^(-10))*(292.75/(U7+273.15))*(3.7345-0.0401*U10)*X13</f>
        <v>1.0002713744663438</v>
      </c>
    </row>
    <row r="8" spans="3:27" x14ac:dyDescent="0.55000000000000004">
      <c r="C8" t="s">
        <v>4</v>
      </c>
      <c r="D8" s="1">
        <v>450</v>
      </c>
      <c r="E8" t="s">
        <v>5</v>
      </c>
      <c r="I8" t="s">
        <v>10</v>
      </c>
      <c r="J8" s="2">
        <v>-724213.16703200003</v>
      </c>
      <c r="M8" t="s">
        <v>26</v>
      </c>
      <c r="N8" s="13">
        <f>J23</f>
        <v>2339.2147667816639</v>
      </c>
      <c r="Q8" t="s">
        <v>23</v>
      </c>
      <c r="R8">
        <v>2406147</v>
      </c>
      <c r="T8" t="s">
        <v>31</v>
      </c>
      <c r="U8">
        <f>D6</f>
        <v>101325</v>
      </c>
    </row>
    <row r="9" spans="3:27" x14ac:dyDescent="0.55000000000000004">
      <c r="I9" t="s">
        <v>11</v>
      </c>
      <c r="J9" s="2">
        <v>-17.073846940100001</v>
      </c>
      <c r="M9" t="s">
        <v>81</v>
      </c>
      <c r="N9" s="6">
        <f>(N7/100)*N8</f>
        <v>1169.607383390832</v>
      </c>
      <c r="Q9" t="s">
        <v>24</v>
      </c>
      <c r="R9">
        <v>15998</v>
      </c>
      <c r="W9" t="s">
        <v>87</v>
      </c>
      <c r="X9">
        <f>1+(10^(-8))*(R7+R8/(130-U10)+R9/(38.9-U10))</f>
        <v>1.000276530985051</v>
      </c>
    </row>
    <row r="10" spans="3:27" x14ac:dyDescent="0.55000000000000004">
      <c r="C10" t="s">
        <v>61</v>
      </c>
      <c r="D10" s="1">
        <v>0.63300000000000001</v>
      </c>
      <c r="E10" t="s">
        <v>62</v>
      </c>
      <c r="I10" t="s">
        <v>12</v>
      </c>
      <c r="J10" s="2">
        <v>12020.8247025</v>
      </c>
      <c r="Q10" t="s">
        <v>83</v>
      </c>
      <c r="R10" s="20">
        <v>96095.43</v>
      </c>
      <c r="T10" t="s">
        <v>63</v>
      </c>
      <c r="U10">
        <f>1/(D10^2)</f>
        <v>2.495701154760924</v>
      </c>
    </row>
    <row r="11" spans="3:27" x14ac:dyDescent="0.55000000000000004">
      <c r="I11" t="s">
        <v>13</v>
      </c>
      <c r="J11" s="2">
        <v>-3232555.03223</v>
      </c>
      <c r="Q11" t="s">
        <v>84</v>
      </c>
      <c r="R11">
        <v>0.60099999999999998</v>
      </c>
      <c r="W11" t="s">
        <v>95</v>
      </c>
      <c r="X11">
        <f>1+U8*(X9-1)*X7/R10</f>
        <v>1.0002717989710457</v>
      </c>
    </row>
    <row r="12" spans="3:27" x14ac:dyDescent="0.55000000000000004">
      <c r="C12" s="21" t="s">
        <v>90</v>
      </c>
      <c r="D12" s="18">
        <f>AA7</f>
        <v>1.0002713744663438</v>
      </c>
      <c r="I12" t="s">
        <v>14</v>
      </c>
      <c r="J12" s="2">
        <v>14.915108613499999</v>
      </c>
      <c r="N12" s="2"/>
      <c r="Q12" t="s">
        <v>85</v>
      </c>
      <c r="R12">
        <v>9.7199999999999995E-3</v>
      </c>
    </row>
    <row r="13" spans="3:27" x14ac:dyDescent="0.55000000000000004">
      <c r="I13" t="s">
        <v>15</v>
      </c>
      <c r="J13" s="2">
        <v>-4823.2657361600004</v>
      </c>
      <c r="N13" s="2"/>
      <c r="Q13" t="s">
        <v>86</v>
      </c>
      <c r="R13" s="12">
        <v>3.6610000000000002E-3</v>
      </c>
      <c r="W13" t="s">
        <v>81</v>
      </c>
      <c r="X13">
        <f>N9</f>
        <v>1169.607383390832</v>
      </c>
    </row>
    <row r="14" spans="3:27" x14ac:dyDescent="0.55000000000000004">
      <c r="C14" s="21" t="s">
        <v>91</v>
      </c>
      <c r="D14" s="22">
        <f>D10/D12</f>
        <v>0.63282826656687308</v>
      </c>
      <c r="E14" t="s">
        <v>62</v>
      </c>
      <c r="I14" t="s">
        <v>16</v>
      </c>
      <c r="J14" s="2">
        <v>405113.40542099997</v>
      </c>
      <c r="N14" s="19"/>
    </row>
    <row r="15" spans="3:27" x14ac:dyDescent="0.55000000000000004">
      <c r="I15" t="s">
        <v>17</v>
      </c>
      <c r="J15" s="2">
        <v>-0.23855557567800001</v>
      </c>
    </row>
    <row r="16" spans="3:27" x14ac:dyDescent="0.55000000000000004">
      <c r="I16" t="s">
        <v>18</v>
      </c>
      <c r="J16" s="2">
        <v>650.17534844800002</v>
      </c>
    </row>
    <row r="17" spans="9:10" x14ac:dyDescent="0.55000000000000004">
      <c r="I17" t="s">
        <v>19</v>
      </c>
      <c r="J17">
        <f>D5+273.15</f>
        <v>293.14999999999998</v>
      </c>
    </row>
    <row r="18" spans="9:10" x14ac:dyDescent="0.55000000000000004">
      <c r="I18" t="s">
        <v>21</v>
      </c>
      <c r="J18" s="2">
        <f>J17+J15/(J17-J16)</f>
        <v>293.15066817545789</v>
      </c>
    </row>
    <row r="19" spans="9:10" x14ac:dyDescent="0.55000000000000004">
      <c r="I19" t="s">
        <v>22</v>
      </c>
      <c r="J19" s="2">
        <f>J18^2+J7*J18+J8</f>
        <v>-296153.73659584904</v>
      </c>
    </row>
    <row r="20" spans="9:10" x14ac:dyDescent="0.55000000000000004">
      <c r="I20" t="s">
        <v>23</v>
      </c>
      <c r="J20" s="2">
        <f>J9*J18^2+J10*J18+J11</f>
        <v>-1175922.7886491732</v>
      </c>
    </row>
    <row r="21" spans="9:10" x14ac:dyDescent="0.55000000000000004">
      <c r="I21" t="s">
        <v>24</v>
      </c>
      <c r="J21" s="2">
        <f>J12*J18^2+J13*J18+J14</f>
        <v>272934.208094751</v>
      </c>
    </row>
    <row r="22" spans="9:10" x14ac:dyDescent="0.55000000000000004">
      <c r="I22" t="s">
        <v>25</v>
      </c>
      <c r="J22" s="2">
        <f>-J20+SQRT(J20^2-4*J19*J21)</f>
        <v>2482106.6758384183</v>
      </c>
    </row>
    <row r="23" spans="9:10" x14ac:dyDescent="0.55000000000000004">
      <c r="I23" t="s">
        <v>26</v>
      </c>
      <c r="J23" s="8">
        <f>(10^6)*(2*J21/J22)^4</f>
        <v>2339.2147667816639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Ciddor</vt:lpstr>
      <vt:lpstr>Edlen</vt:lpstr>
      <vt:lpstr>Modified Edlen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WordUser</dc:creator>
  <cp:lastModifiedBy>WordUser</cp:lastModifiedBy>
  <dcterms:created xsi:type="dcterms:W3CDTF">2022-09-02T22:22:30Z</dcterms:created>
  <dcterms:modified xsi:type="dcterms:W3CDTF">2022-09-03T23:36:59Z</dcterms:modified>
</cp:coreProperties>
</file>