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hettysymes/PycharmProjects/op_art_generator/analysis/"/>
    </mc:Choice>
  </mc:AlternateContent>
  <xr:revisionPtr revIDLastSave="0" documentId="13_ncr:1_{9B805EFB-6E77-0042-B999-FA8C5C8ED532}" xr6:coauthVersionLast="47" xr6:coauthVersionMax="47" xr10:uidLastSave="{00000000-0000-0000-0000-000000000000}"/>
  <bookViews>
    <workbookView xWindow="0" yWindow="500" windowWidth="28800" windowHeight="16020" activeTab="3" xr2:uid="{F32E88F0-E047-FC4B-8F82-E7C145B1565C}"/>
  </bookViews>
  <sheets>
    <sheet name="Cantus Firmus" sheetId="8" r:id="rId1"/>
    <sheet name="Current" sheetId="7" r:id="rId2"/>
    <sheet name="Straight curve" sheetId="6" r:id="rId3"/>
    <sheet name="Blaze" sheetId="5" r:id="rId4"/>
    <sheet name="Arrest 2" sheetId="4" r:id="rId5"/>
    <sheet name="Hesitate" sheetId="3" r:id="rId6"/>
    <sheet name="Movement In Squares" sheetId="2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E20" i="7"/>
  <c r="F20" i="7"/>
  <c r="I14" i="7"/>
  <c r="H20" i="7"/>
  <c r="G20" i="7"/>
  <c r="I20" i="7"/>
  <c r="F21" i="7"/>
  <c r="H21" i="7"/>
  <c r="E21" i="7"/>
  <c r="G21" i="7"/>
  <c r="I21" i="7"/>
  <c r="F22" i="7"/>
  <c r="H22" i="7"/>
  <c r="E22" i="7"/>
  <c r="G22" i="7"/>
  <c r="I22" i="7"/>
  <c r="F23" i="7"/>
  <c r="H23" i="7"/>
  <c r="E23" i="7"/>
  <c r="G23" i="7"/>
  <c r="I23" i="7"/>
  <c r="F24" i="7"/>
  <c r="H24" i="7"/>
  <c r="E24" i="7"/>
  <c r="G24" i="7"/>
  <c r="I24" i="7"/>
  <c r="F25" i="7"/>
  <c r="H25" i="7"/>
  <c r="E25" i="7"/>
  <c r="G25" i="7"/>
  <c r="I25" i="7"/>
  <c r="F26" i="7"/>
  <c r="H26" i="7"/>
  <c r="E26" i="7"/>
  <c r="G26" i="7"/>
  <c r="I26" i="7"/>
  <c r="F27" i="7"/>
  <c r="H27" i="7"/>
  <c r="E27" i="7"/>
  <c r="G27" i="7"/>
  <c r="I27" i="7"/>
  <c r="C22" i="7"/>
  <c r="C21" i="7"/>
  <c r="D22" i="7"/>
  <c r="C23" i="7"/>
  <c r="D23" i="7"/>
  <c r="C24" i="7"/>
  <c r="D24" i="7"/>
  <c r="C25" i="7"/>
  <c r="D25" i="7"/>
  <c r="C26" i="7"/>
  <c r="D26" i="7"/>
  <c r="C27" i="7"/>
  <c r="D27" i="7"/>
  <c r="C20" i="7"/>
  <c r="D21" i="7"/>
  <c r="J1" i="7"/>
  <c r="B21" i="7"/>
  <c r="B22" i="7"/>
  <c r="B23" i="7"/>
  <c r="B24" i="7"/>
  <c r="B25" i="7"/>
  <c r="B26" i="7"/>
  <c r="B27" i="7"/>
  <c r="B20" i="7"/>
  <c r="A26" i="7"/>
  <c r="A27" i="7"/>
  <c r="A21" i="7"/>
  <c r="A22" i="7"/>
  <c r="A23" i="7"/>
  <c r="A24" i="7"/>
  <c r="A25" i="7"/>
  <c r="A20" i="7"/>
  <c r="D10" i="7"/>
  <c r="D11" i="7"/>
  <c r="D12" i="7"/>
  <c r="D13" i="7"/>
  <c r="D14" i="7"/>
  <c r="D15" i="7"/>
  <c r="D9" i="7"/>
  <c r="L3" i="2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F3" i="6"/>
  <c r="A3" i="6"/>
  <c r="N2" i="5"/>
  <c r="N3" i="5"/>
  <c r="N4" i="5"/>
  <c r="N5" i="5"/>
  <c r="N6" i="5"/>
  <c r="N7" i="5"/>
  <c r="N8" i="5"/>
  <c r="N9" i="5"/>
  <c r="N10" i="5"/>
  <c r="M2" i="5"/>
  <c r="O2" i="5"/>
  <c r="P2" i="5"/>
  <c r="M3" i="5"/>
  <c r="O3" i="5"/>
  <c r="P3" i="5"/>
  <c r="M4" i="5"/>
  <c r="O4" i="5"/>
  <c r="P4" i="5"/>
  <c r="M5" i="5"/>
  <c r="O5" i="5"/>
  <c r="P5" i="5"/>
  <c r="M6" i="5"/>
  <c r="O6" i="5"/>
  <c r="P6" i="5"/>
  <c r="M7" i="5"/>
  <c r="O7" i="5"/>
  <c r="P7" i="5"/>
  <c r="M8" i="5"/>
  <c r="O8" i="5"/>
  <c r="P8" i="5"/>
  <c r="M9" i="5"/>
  <c r="O9" i="5"/>
  <c r="P9" i="5"/>
  <c r="M10" i="5"/>
  <c r="O10" i="5"/>
  <c r="P10" i="5"/>
  <c r="E14" i="5"/>
  <c r="B2" i="5"/>
  <c r="B17" i="5"/>
  <c r="B16" i="5"/>
  <c r="B15" i="5"/>
  <c r="B14" i="5"/>
  <c r="A3" i="5"/>
  <c r="R7" i="4"/>
  <c r="O2" i="4"/>
  <c r="O5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X15" i="4"/>
  <c r="M30" i="4"/>
  <c r="M31" i="4"/>
  <c r="M29" i="4"/>
  <c r="L21" i="4"/>
  <c r="M6" i="4"/>
  <c r="M7" i="4"/>
  <c r="M9" i="4"/>
  <c r="M10" i="4"/>
  <c r="M11" i="4"/>
  <c r="M12" i="4"/>
  <c r="M13" i="4"/>
  <c r="M14" i="4"/>
  <c r="M15" i="4"/>
  <c r="M16" i="4"/>
  <c r="M17" i="4"/>
  <c r="M18" i="4"/>
  <c r="M19" i="4"/>
  <c r="M20" i="4"/>
  <c r="M8" i="4"/>
  <c r="E31" i="4"/>
  <c r="L31" i="4"/>
  <c r="L30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2" i="4"/>
  <c r="L23" i="4"/>
  <c r="L24" i="4"/>
  <c r="L25" i="4"/>
  <c r="L26" i="4"/>
  <c r="L27" i="4"/>
  <c r="L28" i="4"/>
  <c r="L29" i="4"/>
  <c r="X5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V8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B2" i="4"/>
  <c r="V5" i="4"/>
  <c r="V4" i="4"/>
  <c r="V3" i="4"/>
  <c r="V2" i="4"/>
  <c r="A3" i="4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T1" i="3"/>
  <c r="E2" i="3"/>
  <c r="E3" i="3"/>
  <c r="E4" i="3"/>
  <c r="E5" i="3"/>
  <c r="E6" i="3"/>
  <c r="E7" i="3"/>
  <c r="E8" i="3"/>
  <c r="F8" i="3"/>
  <c r="E9" i="3"/>
  <c r="F9" i="3"/>
  <c r="E10" i="3"/>
  <c r="E11" i="3"/>
  <c r="E12" i="3"/>
  <c r="E13" i="3"/>
  <c r="E14" i="3"/>
  <c r="E15" i="3"/>
  <c r="E16" i="3"/>
  <c r="F16" i="3"/>
  <c r="E17" i="3"/>
  <c r="F17" i="3"/>
  <c r="E18" i="3"/>
  <c r="E19" i="3"/>
  <c r="E20" i="3"/>
  <c r="E21" i="3"/>
  <c r="E22" i="3"/>
  <c r="E23" i="3"/>
  <c r="E24" i="3"/>
  <c r="F24" i="3"/>
  <c r="E25" i="3"/>
  <c r="F25" i="3"/>
  <c r="E26" i="3"/>
  <c r="E27" i="3"/>
  <c r="E28" i="3"/>
  <c r="E29" i="3"/>
  <c r="E30" i="3"/>
  <c r="E31" i="3"/>
  <c r="E32" i="3"/>
  <c r="F32" i="3"/>
  <c r="E33" i="3"/>
  <c r="F33" i="3"/>
  <c r="E34" i="3"/>
  <c r="E35" i="3"/>
  <c r="E36" i="3"/>
  <c r="E37" i="3"/>
  <c r="E38" i="3"/>
  <c r="H2" i="3"/>
  <c r="D2" i="3"/>
  <c r="F2" i="3"/>
  <c r="D3" i="3"/>
  <c r="D4" i="3"/>
  <c r="D5" i="3"/>
  <c r="D6" i="3"/>
  <c r="D7" i="3"/>
  <c r="D8" i="3"/>
  <c r="D9" i="3"/>
  <c r="D10" i="3"/>
  <c r="F10" i="3"/>
  <c r="D11" i="3"/>
  <c r="D12" i="3"/>
  <c r="D13" i="3"/>
  <c r="D14" i="3"/>
  <c r="D15" i="3"/>
  <c r="D16" i="3"/>
  <c r="D17" i="3"/>
  <c r="D18" i="3"/>
  <c r="F18" i="3"/>
  <c r="D19" i="3"/>
  <c r="D20" i="3"/>
  <c r="D21" i="3"/>
  <c r="D22" i="3"/>
  <c r="D23" i="3"/>
  <c r="D24" i="3"/>
  <c r="D25" i="3"/>
  <c r="D26" i="3"/>
  <c r="F26" i="3"/>
  <c r="D27" i="3"/>
  <c r="D28" i="3"/>
  <c r="D29" i="3"/>
  <c r="D30" i="3"/>
  <c r="D31" i="3"/>
  <c r="D32" i="3"/>
  <c r="D33" i="3"/>
  <c r="D34" i="3"/>
  <c r="F34" i="3"/>
  <c r="D35" i="3"/>
  <c r="D36" i="3"/>
  <c r="D37" i="3"/>
  <c r="D38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B2" i="2"/>
  <c r="D3" i="2" s="1"/>
  <c r="A2" i="2"/>
  <c r="E2" i="2" s="1"/>
  <c r="F3" i="2"/>
  <c r="A3" i="2" s="1"/>
  <c r="E3" i="2" s="1"/>
  <c r="J1" i="2"/>
  <c r="B3" i="2"/>
  <c r="B4" i="2"/>
  <c r="B5" i="2"/>
  <c r="B6" i="2"/>
  <c r="B7" i="2"/>
  <c r="D8" i="2" s="1"/>
  <c r="B8" i="2"/>
  <c r="B9" i="2"/>
  <c r="B10" i="2"/>
  <c r="B11" i="2"/>
  <c r="B12" i="2"/>
  <c r="B13" i="2"/>
  <c r="D13" i="2"/>
  <c r="B14" i="2"/>
  <c r="B15" i="2"/>
  <c r="B16" i="2"/>
  <c r="B17" i="2"/>
  <c r="B18" i="2"/>
  <c r="D18" i="2"/>
  <c r="B19" i="2"/>
  <c r="D19" i="2" s="1"/>
  <c r="B20" i="2"/>
  <c r="D20" i="2" s="1"/>
  <c r="B21" i="2"/>
  <c r="D22" i="2" s="1"/>
  <c r="B22" i="2"/>
  <c r="B23" i="2"/>
  <c r="D23" i="2"/>
  <c r="B24" i="2"/>
  <c r="D24" i="2" s="1"/>
  <c r="B25" i="2"/>
  <c r="D25" i="2" s="1"/>
  <c r="B26" i="2"/>
  <c r="B27" i="2"/>
  <c r="B28" i="2"/>
  <c r="D28" i="2" s="1"/>
  <c r="B29" i="2"/>
  <c r="B30" i="2"/>
  <c r="B31" i="2"/>
  <c r="D31" i="2" s="1"/>
  <c r="B32" i="2"/>
  <c r="B33" i="2"/>
  <c r="D33" i="2"/>
  <c r="I3" i="3"/>
  <c r="H3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F4" i="6"/>
  <c r="A4" i="6"/>
  <c r="L2" i="5"/>
  <c r="K8" i="5"/>
  <c r="K7" i="5"/>
  <c r="L9" i="5"/>
  <c r="K6" i="5"/>
  <c r="L8" i="5"/>
  <c r="L7" i="5"/>
  <c r="K4" i="5"/>
  <c r="L6" i="5"/>
  <c r="K5" i="5"/>
  <c r="H2" i="5"/>
  <c r="K3" i="5"/>
  <c r="L5" i="5"/>
  <c r="K10" i="5"/>
  <c r="K2" i="5"/>
  <c r="L4" i="5"/>
  <c r="K9" i="5"/>
  <c r="I2" i="5"/>
  <c r="L3" i="5"/>
  <c r="L10" i="5"/>
  <c r="A4" i="5"/>
  <c r="B3" i="5"/>
  <c r="J2" i="5"/>
  <c r="J3" i="5"/>
  <c r="J4" i="5"/>
  <c r="J5" i="5"/>
  <c r="J6" i="5"/>
  <c r="J7" i="5"/>
  <c r="J8" i="5"/>
  <c r="J9" i="5"/>
  <c r="J10" i="5"/>
  <c r="H3" i="5"/>
  <c r="H4" i="5"/>
  <c r="H5" i="5"/>
  <c r="H6" i="5"/>
  <c r="H7" i="5"/>
  <c r="H8" i="5"/>
  <c r="H9" i="5"/>
  <c r="H10" i="5"/>
  <c r="I3" i="5"/>
  <c r="I4" i="5"/>
  <c r="I5" i="5"/>
  <c r="I6" i="5"/>
  <c r="I7" i="5"/>
  <c r="I8" i="5"/>
  <c r="I9" i="5"/>
  <c r="I10" i="5"/>
  <c r="O7" i="4"/>
  <c r="O6" i="4"/>
  <c r="O4" i="4"/>
  <c r="O3" i="4"/>
  <c r="J14" i="4"/>
  <c r="J10" i="4"/>
  <c r="J25" i="4"/>
  <c r="J18" i="4"/>
  <c r="V6" i="4"/>
  <c r="J9" i="4"/>
  <c r="J8" i="4"/>
  <c r="J15" i="4"/>
  <c r="J2" i="4"/>
  <c r="J17" i="4"/>
  <c r="J31" i="4"/>
  <c r="J30" i="4"/>
  <c r="J22" i="4"/>
  <c r="J6" i="4"/>
  <c r="J24" i="4"/>
  <c r="J23" i="4"/>
  <c r="J26" i="4"/>
  <c r="J16" i="4"/>
  <c r="J7" i="4"/>
  <c r="J4" i="4"/>
  <c r="J29" i="4"/>
  <c r="J5" i="4"/>
  <c r="J28" i="4"/>
  <c r="J27" i="4"/>
  <c r="J19" i="4"/>
  <c r="J11" i="4"/>
  <c r="J3" i="4"/>
  <c r="J21" i="4"/>
  <c r="J20" i="4"/>
  <c r="J13" i="4"/>
  <c r="J12" i="4"/>
  <c r="L33" i="4"/>
  <c r="L32" i="4"/>
  <c r="A4" i="4"/>
  <c r="B3" i="4"/>
  <c r="F4" i="3"/>
  <c r="F36" i="3"/>
  <c r="F28" i="3"/>
  <c r="F20" i="3"/>
  <c r="F12" i="3"/>
  <c r="F35" i="3"/>
  <c r="F27" i="3"/>
  <c r="F19" i="3"/>
  <c r="F11" i="3"/>
  <c r="F15" i="3"/>
  <c r="F14" i="3"/>
  <c r="F31" i="3"/>
  <c r="F23" i="3"/>
  <c r="F7" i="3"/>
  <c r="F38" i="3"/>
  <c r="F30" i="3"/>
  <c r="F22" i="3"/>
  <c r="F6" i="3"/>
  <c r="F3" i="3"/>
  <c r="F37" i="3"/>
  <c r="F29" i="3"/>
  <c r="F21" i="3"/>
  <c r="F13" i="3"/>
  <c r="F5" i="3"/>
  <c r="D30" i="2"/>
  <c r="I4" i="3"/>
  <c r="H4" i="3"/>
  <c r="F5" i="6"/>
  <c r="A5" i="6"/>
  <c r="A5" i="5"/>
  <c r="B4" i="5"/>
  <c r="F4" i="4"/>
  <c r="G4" i="4"/>
  <c r="N4" i="4"/>
  <c r="F12" i="4"/>
  <c r="G12" i="4"/>
  <c r="N12" i="4"/>
  <c r="F20" i="4"/>
  <c r="G20" i="4"/>
  <c r="N20" i="4"/>
  <c r="F28" i="4"/>
  <c r="G28" i="4"/>
  <c r="N28" i="4"/>
  <c r="F5" i="4"/>
  <c r="G5" i="4"/>
  <c r="N5" i="4"/>
  <c r="F13" i="4"/>
  <c r="G13" i="4"/>
  <c r="N13" i="4"/>
  <c r="F21" i="4"/>
  <c r="G21" i="4"/>
  <c r="N21" i="4"/>
  <c r="F29" i="4"/>
  <c r="G29" i="4"/>
  <c r="N29" i="4"/>
  <c r="F6" i="4"/>
  <c r="G6" i="4"/>
  <c r="N6" i="4"/>
  <c r="F14" i="4"/>
  <c r="G14" i="4"/>
  <c r="N14" i="4"/>
  <c r="F22" i="4"/>
  <c r="G22" i="4"/>
  <c r="N22" i="4"/>
  <c r="F30" i="4"/>
  <c r="G30" i="4"/>
  <c r="N30" i="4"/>
  <c r="F7" i="4"/>
  <c r="G7" i="4"/>
  <c r="N7" i="4"/>
  <c r="F15" i="4"/>
  <c r="G15" i="4"/>
  <c r="N15" i="4"/>
  <c r="F23" i="4"/>
  <c r="G23" i="4"/>
  <c r="N23" i="4"/>
  <c r="F8" i="4"/>
  <c r="G8" i="4"/>
  <c r="N8" i="4"/>
  <c r="F16" i="4"/>
  <c r="G16" i="4"/>
  <c r="N16" i="4"/>
  <c r="F24" i="4"/>
  <c r="G24" i="4"/>
  <c r="N24" i="4"/>
  <c r="F9" i="4"/>
  <c r="G9" i="4"/>
  <c r="N9" i="4"/>
  <c r="F17" i="4"/>
  <c r="G17" i="4"/>
  <c r="N17" i="4"/>
  <c r="F25" i="4"/>
  <c r="G25" i="4"/>
  <c r="N25" i="4"/>
  <c r="F2" i="4"/>
  <c r="G2" i="4"/>
  <c r="N2" i="4"/>
  <c r="F10" i="4"/>
  <c r="G10" i="4"/>
  <c r="N10" i="4"/>
  <c r="F18" i="4"/>
  <c r="G18" i="4"/>
  <c r="N18" i="4"/>
  <c r="F26" i="4"/>
  <c r="G26" i="4"/>
  <c r="N26" i="4"/>
  <c r="F11" i="4"/>
  <c r="G11" i="4"/>
  <c r="N11" i="4"/>
  <c r="F19" i="4"/>
  <c r="G19" i="4"/>
  <c r="N19" i="4"/>
  <c r="F27" i="4"/>
  <c r="G27" i="4"/>
  <c r="N27" i="4"/>
  <c r="F3" i="4"/>
  <c r="G3" i="4"/>
  <c r="N3" i="4"/>
  <c r="F31" i="4"/>
  <c r="G31" i="4"/>
  <c r="N31" i="4"/>
  <c r="L37" i="4"/>
  <c r="J32" i="4"/>
  <c r="J33" i="4"/>
  <c r="A5" i="4"/>
  <c r="B4" i="4"/>
  <c r="I5" i="3"/>
  <c r="H5" i="3"/>
  <c r="F6" i="6"/>
  <c r="A6" i="6"/>
  <c r="A6" i="5"/>
  <c r="B5" i="5"/>
  <c r="V12" i="4"/>
  <c r="V11" i="4"/>
  <c r="A6" i="4"/>
  <c r="B5" i="4"/>
  <c r="I6" i="3"/>
  <c r="H6" i="3"/>
  <c r="F7" i="6"/>
  <c r="A7" i="6"/>
  <c r="A7" i="5"/>
  <c r="B6" i="5"/>
  <c r="A7" i="4"/>
  <c r="B6" i="4"/>
  <c r="I7" i="3"/>
  <c r="H7" i="3"/>
  <c r="F8" i="6"/>
  <c r="A8" i="6"/>
  <c r="A8" i="5"/>
  <c r="B7" i="5"/>
  <c r="A8" i="4"/>
  <c r="B7" i="4"/>
  <c r="I8" i="3"/>
  <c r="H8" i="3"/>
  <c r="F9" i="6"/>
  <c r="A9" i="6"/>
  <c r="A9" i="5"/>
  <c r="B8" i="5"/>
  <c r="A9" i="4"/>
  <c r="B8" i="4"/>
  <c r="I9" i="3"/>
  <c r="H9" i="3"/>
  <c r="F10" i="6"/>
  <c r="A10" i="6"/>
  <c r="A10" i="5"/>
  <c r="B10" i="5"/>
  <c r="B9" i="5"/>
  <c r="A10" i="4"/>
  <c r="B9" i="4"/>
  <c r="I10" i="3"/>
  <c r="H10" i="3"/>
  <c r="F11" i="6"/>
  <c r="A11" i="6"/>
  <c r="A11" i="4"/>
  <c r="B10" i="4"/>
  <c r="I11" i="3"/>
  <c r="H11" i="3"/>
  <c r="F12" i="6"/>
  <c r="A12" i="6"/>
  <c r="A12" i="4"/>
  <c r="B11" i="4"/>
  <c r="I12" i="3"/>
  <c r="H12" i="3"/>
  <c r="F13" i="6"/>
  <c r="A13" i="6"/>
  <c r="A13" i="4"/>
  <c r="B12" i="4"/>
  <c r="I13" i="3"/>
  <c r="H13" i="3"/>
  <c r="F14" i="6"/>
  <c r="A14" i="6"/>
  <c r="A14" i="4"/>
  <c r="B13" i="4"/>
  <c r="I14" i="3"/>
  <c r="H14" i="3"/>
  <c r="F15" i="6"/>
  <c r="A15" i="6"/>
  <c r="A15" i="4"/>
  <c r="B14" i="4"/>
  <c r="I15" i="3"/>
  <c r="H15" i="3"/>
  <c r="F16" i="6"/>
  <c r="A16" i="6"/>
  <c r="A16" i="4"/>
  <c r="B15" i="4"/>
  <c r="I16" i="3"/>
  <c r="H16" i="3"/>
  <c r="F17" i="6"/>
  <c r="A17" i="6"/>
  <c r="A17" i="4"/>
  <c r="B16" i="4"/>
  <c r="I17" i="3"/>
  <c r="H17" i="3"/>
  <c r="F18" i="6"/>
  <c r="A18" i="6"/>
  <c r="A18" i="4"/>
  <c r="B17" i="4"/>
  <c r="I18" i="3"/>
  <c r="H18" i="3"/>
  <c r="F19" i="6"/>
  <c r="A19" i="6"/>
  <c r="A19" i="4"/>
  <c r="B18" i="4"/>
  <c r="I19" i="3"/>
  <c r="H19" i="3"/>
  <c r="F20" i="6"/>
  <c r="A20" i="6"/>
  <c r="A20" i="4"/>
  <c r="B19" i="4"/>
  <c r="I20" i="3"/>
  <c r="H20" i="3"/>
  <c r="F21" i="6"/>
  <c r="A21" i="6"/>
  <c r="A21" i="4"/>
  <c r="B20" i="4"/>
  <c r="I21" i="3"/>
  <c r="H21" i="3"/>
  <c r="F22" i="6"/>
  <c r="A22" i="6"/>
  <c r="A22" i="4"/>
  <c r="B21" i="4"/>
  <c r="I22" i="3"/>
  <c r="H22" i="3"/>
  <c r="F23" i="6"/>
  <c r="A23" i="6"/>
  <c r="A23" i="4"/>
  <c r="B22" i="4"/>
  <c r="I23" i="3"/>
  <c r="H23" i="3"/>
  <c r="F24" i="6"/>
  <c r="A24" i="6"/>
  <c r="A24" i="4"/>
  <c r="B23" i="4"/>
  <c r="I24" i="3"/>
  <c r="H24" i="3"/>
  <c r="F25" i="6"/>
  <c r="A25" i="6"/>
  <c r="A25" i="4"/>
  <c r="B24" i="4"/>
  <c r="I25" i="3"/>
  <c r="H25" i="3"/>
  <c r="F26" i="6"/>
  <c r="A26" i="6"/>
  <c r="A26" i="4"/>
  <c r="B25" i="4"/>
  <c r="I26" i="3"/>
  <c r="H26" i="3"/>
  <c r="F27" i="6"/>
  <c r="A27" i="6"/>
  <c r="A27" i="4"/>
  <c r="B26" i="4"/>
  <c r="I27" i="3"/>
  <c r="H27" i="3"/>
  <c r="F28" i="6"/>
  <c r="A28" i="6"/>
  <c r="A28" i="4"/>
  <c r="B27" i="4"/>
  <c r="I28" i="3"/>
  <c r="H28" i="3"/>
  <c r="F29" i="6"/>
  <c r="A29" i="6"/>
  <c r="C28" i="6"/>
  <c r="A29" i="4"/>
  <c r="B28" i="4"/>
  <c r="I29" i="3"/>
  <c r="H29" i="3"/>
  <c r="F30" i="6"/>
  <c r="C2" i="6"/>
  <c r="C29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A30" i="4"/>
  <c r="B29" i="4"/>
  <c r="I30" i="3"/>
  <c r="H30" i="3"/>
  <c r="F31" i="6"/>
  <c r="A31" i="4"/>
  <c r="B31" i="4"/>
  <c r="B30" i="4"/>
  <c r="I31" i="3"/>
  <c r="H31" i="3"/>
  <c r="F32" i="6"/>
  <c r="I32" i="3"/>
  <c r="H32" i="3"/>
  <c r="F33" i="6"/>
  <c r="I33" i="3"/>
  <c r="H33" i="3"/>
  <c r="F34" i="6"/>
  <c r="I34" i="3"/>
  <c r="H34" i="3"/>
  <c r="F35" i="6"/>
  <c r="I35" i="3"/>
  <c r="H35" i="3"/>
  <c r="F36" i="6"/>
  <c r="I36" i="3"/>
  <c r="H36" i="3"/>
  <c r="F37" i="6"/>
  <c r="I37" i="3"/>
  <c r="H37" i="3"/>
  <c r="F38" i="6"/>
  <c r="I38" i="3"/>
  <c r="H38" i="3"/>
  <c r="F39" i="6"/>
  <c r="F40" i="6"/>
  <c r="F41" i="6"/>
  <c r="F42" i="6"/>
  <c r="F43" i="6"/>
  <c r="H42" i="6"/>
  <c r="H2" i="6"/>
  <c r="H43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D4" i="2" l="1"/>
  <c r="D29" i="2"/>
  <c r="D11" i="2"/>
  <c r="D14" i="2"/>
  <c r="D10" i="2"/>
  <c r="D7" i="2"/>
  <c r="D27" i="2"/>
  <c r="D6" i="2"/>
  <c r="D5" i="2"/>
  <c r="D12" i="2"/>
  <c r="D17" i="2"/>
  <c r="D16" i="2"/>
  <c r="D9" i="2"/>
  <c r="D32" i="2"/>
  <c r="D26" i="2"/>
  <c r="D21" i="2"/>
  <c r="F4" i="2"/>
  <c r="D15" i="2"/>
  <c r="A4" i="2" l="1"/>
  <c r="E4" i="2" s="1"/>
  <c r="F5" i="2"/>
  <c r="F6" i="2" l="1"/>
  <c r="A5" i="2"/>
  <c r="E5" i="2" s="1"/>
  <c r="A6" i="2" l="1"/>
  <c r="E6" i="2" s="1"/>
  <c r="F7" i="2"/>
  <c r="A7" i="2" l="1"/>
  <c r="E7" i="2" s="1"/>
  <c r="F8" i="2"/>
  <c r="F9" i="2" l="1"/>
  <c r="A8" i="2"/>
  <c r="E8" i="2" s="1"/>
  <c r="A9" i="2" l="1"/>
  <c r="E9" i="2" s="1"/>
  <c r="F10" i="2"/>
  <c r="A10" i="2" l="1"/>
  <c r="E10" i="2" s="1"/>
  <c r="F11" i="2"/>
  <c r="F12" i="2" l="1"/>
  <c r="A11" i="2"/>
  <c r="E11" i="2" s="1"/>
  <c r="F13" i="2" l="1"/>
  <c r="A12" i="2"/>
  <c r="E12" i="2" s="1"/>
  <c r="A13" i="2" l="1"/>
  <c r="E13" i="2" s="1"/>
  <c r="F14" i="2"/>
  <c r="A14" i="2" l="1"/>
  <c r="E14" i="2" s="1"/>
  <c r="F15" i="2"/>
  <c r="F16" i="2" l="1"/>
  <c r="A15" i="2"/>
  <c r="E15" i="2" s="1"/>
  <c r="F17" i="2" l="1"/>
  <c r="A16" i="2"/>
  <c r="E16" i="2" s="1"/>
  <c r="F18" i="2" l="1"/>
  <c r="A17" i="2"/>
  <c r="E17" i="2" s="1"/>
  <c r="F19" i="2" l="1"/>
  <c r="A18" i="2"/>
  <c r="E18" i="2" s="1"/>
  <c r="F20" i="2" l="1"/>
  <c r="A19" i="2"/>
  <c r="E19" i="2" s="1"/>
  <c r="F21" i="2" l="1"/>
  <c r="A20" i="2"/>
  <c r="E20" i="2" s="1"/>
  <c r="A21" i="2" l="1"/>
  <c r="E21" i="2" s="1"/>
  <c r="F22" i="2"/>
  <c r="A22" i="2" l="1"/>
  <c r="E22" i="2" s="1"/>
  <c r="F23" i="2"/>
  <c r="F24" i="2" l="1"/>
  <c r="A23" i="2"/>
  <c r="E23" i="2" s="1"/>
  <c r="F25" i="2" l="1"/>
  <c r="A24" i="2"/>
  <c r="E24" i="2" s="1"/>
  <c r="F26" i="2" l="1"/>
  <c r="A25" i="2"/>
  <c r="E25" i="2" s="1"/>
  <c r="F27" i="2" l="1"/>
  <c r="A26" i="2"/>
  <c r="E26" i="2" s="1"/>
  <c r="F28" i="2" l="1"/>
  <c r="A27" i="2"/>
  <c r="E27" i="2" s="1"/>
  <c r="A28" i="2" l="1"/>
  <c r="E28" i="2" s="1"/>
  <c r="F29" i="2"/>
  <c r="F30" i="2" l="1"/>
  <c r="A29" i="2"/>
  <c r="E29" i="2" s="1"/>
  <c r="A30" i="2" l="1"/>
  <c r="E30" i="2" s="1"/>
  <c r="F31" i="2"/>
  <c r="F32" i="2" l="1"/>
  <c r="A31" i="2"/>
  <c r="E31" i="2" s="1"/>
  <c r="A32" i="2" l="1"/>
  <c r="E32" i="2" s="1"/>
  <c r="F33" i="2"/>
  <c r="A33" i="2" s="1"/>
  <c r="E33" i="2" s="1"/>
</calcChain>
</file>

<file path=xl/sharedStrings.xml><?xml version="1.0" encoding="utf-8"?>
<sst xmlns="http://schemas.openxmlformats.org/spreadsheetml/2006/main" count="257" uniqueCount="104">
  <si>
    <t>Index</t>
  </si>
  <si>
    <t>x coord</t>
  </si>
  <si>
    <t>N_index</t>
  </si>
  <si>
    <t>y coord</t>
  </si>
  <si>
    <t>Width</t>
  </si>
  <si>
    <t>Height</t>
  </si>
  <si>
    <t>Circle index</t>
  </si>
  <si>
    <t>Normalised circle index</t>
  </si>
  <si>
    <t>cx</t>
  </si>
  <si>
    <t>cy</t>
  </si>
  <si>
    <t>r</t>
  </si>
  <si>
    <t>Point x</t>
  </si>
  <si>
    <t>Point y</t>
  </si>
  <si>
    <t>Normalised cx</t>
  </si>
  <si>
    <t>Normalised cy</t>
  </si>
  <si>
    <t>Normalised r</t>
  </si>
  <si>
    <t>Normalised point x</t>
  </si>
  <si>
    <t>Normalised point y</t>
  </si>
  <si>
    <t>Vector x</t>
  </si>
  <si>
    <t>Vector y</t>
  </si>
  <si>
    <t>Angle</t>
  </si>
  <si>
    <t>Diff</t>
  </si>
  <si>
    <t xml:space="preserve"> </t>
  </si>
  <si>
    <t>width</t>
  </si>
  <si>
    <t>number of points</t>
  </si>
  <si>
    <t>height</t>
  </si>
  <si>
    <t>upper-left x</t>
  </si>
  <si>
    <t>upper-left y</t>
  </si>
  <si>
    <t>Normalised index</t>
  </si>
  <si>
    <t>Peak x</t>
  </si>
  <si>
    <t>Normalised peak x</t>
  </si>
  <si>
    <t>Peak y</t>
  </si>
  <si>
    <t>Phase diff</t>
  </si>
  <si>
    <t>Normalised phase diff</t>
  </si>
  <si>
    <t>Trough x</t>
  </si>
  <si>
    <t>Normalised trough x</t>
  </si>
  <si>
    <t>Amplitude</t>
  </si>
  <si>
    <t>Second peak y</t>
  </si>
  <si>
    <t>Normalised Time period</t>
  </si>
  <si>
    <t>Column1</t>
  </si>
  <si>
    <t>Phase diffs shifted</t>
  </si>
  <si>
    <t>Estimate</t>
  </si>
  <si>
    <t>Period</t>
  </si>
  <si>
    <t>211.7w. 215.9h</t>
  </si>
  <si>
    <t>Time period</t>
  </si>
  <si>
    <t>First sine trough y</t>
  </si>
  <si>
    <t>peak:</t>
  </si>
  <si>
    <t>coeff:</t>
  </si>
  <si>
    <t>UB</t>
  </si>
  <si>
    <t>LB</t>
  </si>
  <si>
    <t>Normalised UB</t>
  </si>
  <si>
    <t>Normalised LB</t>
  </si>
  <si>
    <t>ry</t>
  </si>
  <si>
    <t>ry_est</t>
  </si>
  <si>
    <t>Normalised Index</t>
  </si>
  <si>
    <t>index</t>
  </si>
  <si>
    <t>gap</t>
  </si>
  <si>
    <t>est_ub</t>
  </si>
  <si>
    <t>scale:</t>
  </si>
  <si>
    <t>rx</t>
  </si>
  <si>
    <t>merge_y</t>
  </si>
  <si>
    <t>208 w, 197 h</t>
  </si>
  <si>
    <t>min_y</t>
  </si>
  <si>
    <t>translation</t>
  </si>
  <si>
    <t>a</t>
  </si>
  <si>
    <t>b</t>
  </si>
  <si>
    <t>c</t>
  </si>
  <si>
    <t>d</t>
  </si>
  <si>
    <t>Square boundaries</t>
  </si>
  <si>
    <t>Matthew</t>
  </si>
  <si>
    <t>123x123</t>
  </si>
  <si>
    <t>X</t>
  </si>
  <si>
    <t>Trough y</t>
  </si>
  <si>
    <t>tough/peak y</t>
  </si>
  <si>
    <t>trough/peak x</t>
  </si>
  <si>
    <t>diff</t>
  </si>
  <si>
    <t>Normalised</t>
  </si>
  <si>
    <t>white x</t>
  </si>
  <si>
    <t>black x</t>
  </si>
  <si>
    <t>black diff</t>
  </si>
  <si>
    <t>white diff</t>
  </si>
  <si>
    <t>diff diff</t>
  </si>
  <si>
    <t>Note: black means looking at the BOTTOM of that coloured curve!</t>
  </si>
  <si>
    <t>green</t>
  </si>
  <si>
    <t>pink</t>
  </si>
  <si>
    <t>blue</t>
  </si>
  <si>
    <t>black</t>
  </si>
  <si>
    <t>white</t>
  </si>
  <si>
    <t>unnorm_x</t>
  </si>
  <si>
    <t>Colour</t>
  </si>
  <si>
    <t>grey0</t>
  </si>
  <si>
    <t>grey1</t>
  </si>
  <si>
    <t>grey2</t>
  </si>
  <si>
    <t>grey3</t>
  </si>
  <si>
    <t>grey4</t>
  </si>
  <si>
    <t>grey5</t>
  </si>
  <si>
    <t>grey6</t>
  </si>
  <si>
    <t>Index2</t>
  </si>
  <si>
    <t>Vertical Line X Position</t>
  </si>
  <si>
    <t>X Position</t>
  </si>
  <si>
    <t>Y</t>
  </si>
  <si>
    <t>&lt;- Piecewise</t>
  </si>
  <si>
    <t>Y Position</t>
  </si>
  <si>
    <t>Cell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</si>
</sst>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CE9178"/>
      <name val="Menlo"/>
      <family val="2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3" borderId="2" xfId="0" applyFill="1" applyBorder="1"/>
    <xf numFmtId="0" fontId="0" fillId="0" borderId="2" xfId="0" applyBorder="1"/>
    <xf numFmtId="0" fontId="4" fillId="0" borderId="0" xfId="0" applyFont="1"/>
    <xf numFmtId="0" fontId="3" fillId="2" borderId="2" xfId="0" applyFont="1" applyFill="1" applyBorder="1"/>
    <xf numFmtId="0" fontId="5" fillId="0" borderId="0" xfId="0" applyFont="1"/>
  </cellXfs>
  <cellStyles count="1">
    <cellStyle name="Normal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right style="thin">
          <color theme="4" tint="0.39997558519241921"/>
        </righ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'Cantus Firmus'!$A$1</c:f>
              <c:strCache>
                <c:ptCount val="1"/>
                <c:pt idx="0">
                  <c:v>unnorm_x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'Cantus Firmus'!#REF!</c:f>
            </c:numRef>
          </c:xVal>
          <c:yVal>
            <c:numRef>
              <c:f>'Cantus Firmus'!$A$2:$A$144</c:f>
              <c:numCache>
                <c:formatCode>General</c:formatCode>
                <c:ptCount val="143"/>
                <c:pt idx="0">
                  <c:v>0.76</c:v>
                </c:pt>
                <c:pt idx="1">
                  <c:v>2.1</c:v>
                </c:pt>
                <c:pt idx="2">
                  <c:v>4.0599999999999996</c:v>
                </c:pt>
                <c:pt idx="3">
                  <c:v>10.73</c:v>
                </c:pt>
                <c:pt idx="4">
                  <c:v>12.68</c:v>
                </c:pt>
                <c:pt idx="5">
                  <c:v>14.15</c:v>
                </c:pt>
                <c:pt idx="6">
                  <c:v>15.66</c:v>
                </c:pt>
                <c:pt idx="7">
                  <c:v>20.38</c:v>
                </c:pt>
                <c:pt idx="8">
                  <c:v>21.79</c:v>
                </c:pt>
                <c:pt idx="9">
                  <c:v>23.14</c:v>
                </c:pt>
                <c:pt idx="10">
                  <c:v>25.2</c:v>
                </c:pt>
                <c:pt idx="11">
                  <c:v>30.13</c:v>
                </c:pt>
                <c:pt idx="12">
                  <c:v>32.090000000000003</c:v>
                </c:pt>
                <c:pt idx="13">
                  <c:v>33.71</c:v>
                </c:pt>
                <c:pt idx="14">
                  <c:v>35.01</c:v>
                </c:pt>
                <c:pt idx="15">
                  <c:v>41.24</c:v>
                </c:pt>
                <c:pt idx="16">
                  <c:v>42.87</c:v>
                </c:pt>
                <c:pt idx="17">
                  <c:v>44.39</c:v>
                </c:pt>
                <c:pt idx="18">
                  <c:v>46.45</c:v>
                </c:pt>
                <c:pt idx="19">
                  <c:v>51</c:v>
                </c:pt>
                <c:pt idx="20">
                  <c:v>53.22</c:v>
                </c:pt>
                <c:pt idx="21">
                  <c:v>54.79</c:v>
                </c:pt>
                <c:pt idx="22">
                  <c:v>56.15</c:v>
                </c:pt>
                <c:pt idx="23">
                  <c:v>60.7</c:v>
                </c:pt>
                <c:pt idx="24">
                  <c:v>62.33</c:v>
                </c:pt>
                <c:pt idx="25">
                  <c:v>63.9</c:v>
                </c:pt>
                <c:pt idx="26">
                  <c:v>65.900000000000006</c:v>
                </c:pt>
                <c:pt idx="27">
                  <c:v>72.14</c:v>
                </c:pt>
                <c:pt idx="28">
                  <c:v>73.930000000000007</c:v>
                </c:pt>
                <c:pt idx="29">
                  <c:v>75.61</c:v>
                </c:pt>
                <c:pt idx="30">
                  <c:v>77.12</c:v>
                </c:pt>
                <c:pt idx="31">
                  <c:v>81.84</c:v>
                </c:pt>
                <c:pt idx="32">
                  <c:v>83.46</c:v>
                </c:pt>
                <c:pt idx="33">
                  <c:v>85.1</c:v>
                </c:pt>
                <c:pt idx="34">
                  <c:v>87.01</c:v>
                </c:pt>
                <c:pt idx="35">
                  <c:v>91.91</c:v>
                </c:pt>
                <c:pt idx="36">
                  <c:v>93.77</c:v>
                </c:pt>
                <c:pt idx="37">
                  <c:v>95.45</c:v>
                </c:pt>
                <c:pt idx="38">
                  <c:v>96.73</c:v>
                </c:pt>
                <c:pt idx="39">
                  <c:v>103.11</c:v>
                </c:pt>
                <c:pt idx="40">
                  <c:v>104.7</c:v>
                </c:pt>
                <c:pt idx="41">
                  <c:v>106.22</c:v>
                </c:pt>
                <c:pt idx="42">
                  <c:v>108.12</c:v>
                </c:pt>
                <c:pt idx="43">
                  <c:v>112.86</c:v>
                </c:pt>
                <c:pt idx="44">
                  <c:v>114.85</c:v>
                </c:pt>
                <c:pt idx="45">
                  <c:v>116.4</c:v>
                </c:pt>
                <c:pt idx="46">
                  <c:v>117.92</c:v>
                </c:pt>
                <c:pt idx="47">
                  <c:v>122.66</c:v>
                </c:pt>
                <c:pt idx="48">
                  <c:v>123.94</c:v>
                </c:pt>
                <c:pt idx="49">
                  <c:v>125.38</c:v>
                </c:pt>
                <c:pt idx="50">
                  <c:v>127.48</c:v>
                </c:pt>
                <c:pt idx="51">
                  <c:v>134.09</c:v>
                </c:pt>
                <c:pt idx="52">
                  <c:v>135.84</c:v>
                </c:pt>
                <c:pt idx="53">
                  <c:v>137.47</c:v>
                </c:pt>
                <c:pt idx="54">
                  <c:v>138.94999999999999</c:v>
                </c:pt>
                <c:pt idx="55">
                  <c:v>143.54</c:v>
                </c:pt>
                <c:pt idx="56">
                  <c:v>144.94</c:v>
                </c:pt>
                <c:pt idx="57">
                  <c:v>146.49</c:v>
                </c:pt>
                <c:pt idx="58">
                  <c:v>148.55000000000001</c:v>
                </c:pt>
                <c:pt idx="59">
                  <c:v>153.34</c:v>
                </c:pt>
                <c:pt idx="60">
                  <c:v>155.44</c:v>
                </c:pt>
                <c:pt idx="61">
                  <c:v>156.74</c:v>
                </c:pt>
                <c:pt idx="62">
                  <c:v>158.18</c:v>
                </c:pt>
                <c:pt idx="63">
                  <c:v>164.76</c:v>
                </c:pt>
                <c:pt idx="64">
                  <c:v>166.08</c:v>
                </c:pt>
                <c:pt idx="65">
                  <c:v>167.65</c:v>
                </c:pt>
                <c:pt idx="66">
                  <c:v>169.58</c:v>
                </c:pt>
                <c:pt idx="67">
                  <c:v>174.44</c:v>
                </c:pt>
                <c:pt idx="68">
                  <c:v>176.25</c:v>
                </c:pt>
                <c:pt idx="69">
                  <c:v>177.94</c:v>
                </c:pt>
                <c:pt idx="70">
                  <c:v>179.26</c:v>
                </c:pt>
                <c:pt idx="71">
                  <c:v>184.03</c:v>
                </c:pt>
                <c:pt idx="72">
                  <c:v>185.51</c:v>
                </c:pt>
                <c:pt idx="73">
                  <c:v>187.12</c:v>
                </c:pt>
                <c:pt idx="74">
                  <c:v>189.01</c:v>
                </c:pt>
                <c:pt idx="75">
                  <c:v>195.35</c:v>
                </c:pt>
                <c:pt idx="76">
                  <c:v>197.21</c:v>
                </c:pt>
                <c:pt idx="77">
                  <c:v>198.81</c:v>
                </c:pt>
                <c:pt idx="78">
                  <c:v>200.17</c:v>
                </c:pt>
                <c:pt idx="79">
                  <c:v>204.91</c:v>
                </c:pt>
                <c:pt idx="80">
                  <c:v>206.39</c:v>
                </c:pt>
                <c:pt idx="81">
                  <c:v>207.83</c:v>
                </c:pt>
                <c:pt idx="82">
                  <c:v>209.93</c:v>
                </c:pt>
                <c:pt idx="83">
                  <c:v>214.75</c:v>
                </c:pt>
                <c:pt idx="84">
                  <c:v>216.52</c:v>
                </c:pt>
                <c:pt idx="85">
                  <c:v>218.08</c:v>
                </c:pt>
                <c:pt idx="86">
                  <c:v>219.52</c:v>
                </c:pt>
                <c:pt idx="87">
                  <c:v>226.03</c:v>
                </c:pt>
                <c:pt idx="88">
                  <c:v>227.38</c:v>
                </c:pt>
                <c:pt idx="89">
                  <c:v>228.99</c:v>
                </c:pt>
                <c:pt idx="90">
                  <c:v>230.84</c:v>
                </c:pt>
                <c:pt idx="91">
                  <c:v>235.68</c:v>
                </c:pt>
                <c:pt idx="92">
                  <c:v>237.64</c:v>
                </c:pt>
                <c:pt idx="93">
                  <c:v>239.26</c:v>
                </c:pt>
                <c:pt idx="94">
                  <c:v>240.7</c:v>
                </c:pt>
                <c:pt idx="95">
                  <c:v>245.51</c:v>
                </c:pt>
                <c:pt idx="96">
                  <c:v>246.91</c:v>
                </c:pt>
                <c:pt idx="97">
                  <c:v>248.32</c:v>
                </c:pt>
                <c:pt idx="98">
                  <c:v>250.35</c:v>
                </c:pt>
                <c:pt idx="99">
                  <c:v>254.95</c:v>
                </c:pt>
                <c:pt idx="100">
                  <c:v>257.08999999999997</c:v>
                </c:pt>
                <c:pt idx="101">
                  <c:v>258.63</c:v>
                </c:pt>
                <c:pt idx="102">
                  <c:v>260.04000000000002</c:v>
                </c:pt>
                <c:pt idx="103">
                  <c:v>266.47000000000003</c:v>
                </c:pt>
                <c:pt idx="104">
                  <c:v>267.89999999999998</c:v>
                </c:pt>
                <c:pt idx="105">
                  <c:v>269.52999999999997</c:v>
                </c:pt>
                <c:pt idx="106">
                  <c:v>271.33999999999997</c:v>
                </c:pt>
                <c:pt idx="107">
                  <c:v>276.10000000000002</c:v>
                </c:pt>
                <c:pt idx="108">
                  <c:v>278.06</c:v>
                </c:pt>
                <c:pt idx="109">
                  <c:v>279.73</c:v>
                </c:pt>
                <c:pt idx="110">
                  <c:v>281.02999999999997</c:v>
                </c:pt>
                <c:pt idx="111">
                  <c:v>285.62</c:v>
                </c:pt>
                <c:pt idx="112">
                  <c:v>287.27</c:v>
                </c:pt>
                <c:pt idx="113">
                  <c:v>288.76</c:v>
                </c:pt>
                <c:pt idx="114">
                  <c:v>290.66000000000003</c:v>
                </c:pt>
                <c:pt idx="115">
                  <c:v>297.12</c:v>
                </c:pt>
                <c:pt idx="116">
                  <c:v>298.91000000000003</c:v>
                </c:pt>
                <c:pt idx="117">
                  <c:v>300.67</c:v>
                </c:pt>
                <c:pt idx="118">
                  <c:v>302.10000000000002</c:v>
                </c:pt>
                <c:pt idx="119">
                  <c:v>306.86</c:v>
                </c:pt>
                <c:pt idx="120">
                  <c:v>308.07</c:v>
                </c:pt>
                <c:pt idx="121">
                  <c:v>309.69</c:v>
                </c:pt>
                <c:pt idx="122">
                  <c:v>311.62</c:v>
                </c:pt>
                <c:pt idx="123">
                  <c:v>316.35000000000002</c:v>
                </c:pt>
                <c:pt idx="124">
                  <c:v>318.25</c:v>
                </c:pt>
                <c:pt idx="125">
                  <c:v>320.07</c:v>
                </c:pt>
                <c:pt idx="126">
                  <c:v>321.39</c:v>
                </c:pt>
                <c:pt idx="127">
                  <c:v>327.79</c:v>
                </c:pt>
                <c:pt idx="128">
                  <c:v>329.15</c:v>
                </c:pt>
                <c:pt idx="129">
                  <c:v>330.69</c:v>
                </c:pt>
                <c:pt idx="130">
                  <c:v>332.75</c:v>
                </c:pt>
                <c:pt idx="131">
                  <c:v>337.63</c:v>
                </c:pt>
                <c:pt idx="132">
                  <c:v>339.29</c:v>
                </c:pt>
                <c:pt idx="133">
                  <c:v>340.91</c:v>
                </c:pt>
                <c:pt idx="134">
                  <c:v>342.41</c:v>
                </c:pt>
                <c:pt idx="135">
                  <c:v>347.18</c:v>
                </c:pt>
                <c:pt idx="136">
                  <c:v>348.63</c:v>
                </c:pt>
                <c:pt idx="137">
                  <c:v>350.24</c:v>
                </c:pt>
                <c:pt idx="138">
                  <c:v>352.11</c:v>
                </c:pt>
                <c:pt idx="139">
                  <c:v>358.47</c:v>
                </c:pt>
                <c:pt idx="140">
                  <c:v>360.25</c:v>
                </c:pt>
                <c:pt idx="141">
                  <c:v>361.91</c:v>
                </c:pt>
                <c:pt idx="142">
                  <c:v>363.27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D6-5C4B-9534-ABFF9E4BF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866080"/>
        <c:axId val="1048252144"/>
      </c:scatterChart>
      <c:valAx>
        <c:axId val="135586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252144"/>
        <c:crosses val="autoZero"/>
        <c:crossBetween val="midCat"/>
      </c:valAx>
      <c:valAx>
        <c:axId val="104825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86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Blaze!$K$2:$K$10</c:f>
              <c:numCache>
                <c:formatCode>General</c:formatCode>
                <c:ptCount val="9"/>
                <c:pt idx="0">
                  <c:v>0.47400207680397471</c:v>
                </c:pt>
                <c:pt idx="1">
                  <c:v>0.47568834180456659</c:v>
                </c:pt>
                <c:pt idx="2">
                  <c:v>0.49771096271229653</c:v>
                </c:pt>
                <c:pt idx="3">
                  <c:v>0.43110349518891733</c:v>
                </c:pt>
                <c:pt idx="4">
                  <c:v>0.50964971891648703</c:v>
                </c:pt>
                <c:pt idx="5">
                  <c:v>0.4785549923055728</c:v>
                </c:pt>
                <c:pt idx="6">
                  <c:v>0.62367495825650987</c:v>
                </c:pt>
                <c:pt idx="7">
                  <c:v>0.56968075293755782</c:v>
                </c:pt>
                <c:pt idx="8">
                  <c:v>0.73702569159629594</c:v>
                </c:pt>
              </c:numCache>
            </c:numRef>
          </c:xVal>
          <c:yVal>
            <c:numRef>
              <c:f>Blaze!$L$2:$L$10</c:f>
              <c:numCache>
                <c:formatCode>General</c:formatCode>
                <c:ptCount val="9"/>
                <c:pt idx="0">
                  <c:v>0.56333344912353001</c:v>
                </c:pt>
                <c:pt idx="1">
                  <c:v>0.5917301517334973</c:v>
                </c:pt>
                <c:pt idx="2">
                  <c:v>0.66690384545988324</c:v>
                </c:pt>
                <c:pt idx="3">
                  <c:v>0.72258431577942706</c:v>
                </c:pt>
                <c:pt idx="4">
                  <c:v>0.72997015648201957</c:v>
                </c:pt>
                <c:pt idx="5">
                  <c:v>0.78194084380026108</c:v>
                </c:pt>
                <c:pt idx="6">
                  <c:v>0.80345758520781352</c:v>
                </c:pt>
                <c:pt idx="7">
                  <c:v>0.90723033334423775</c:v>
                </c:pt>
                <c:pt idx="8">
                  <c:v>0.94490149345746022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C5-435F-9BA9-F1CCC0386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096967"/>
        <c:axId val="677115399"/>
      </c:scatterChart>
      <c:valAx>
        <c:axId val="677096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115399"/>
        <c:crosses val="autoZero"/>
        <c:crossBetween val="midCat"/>
      </c:valAx>
      <c:valAx>
        <c:axId val="677115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096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Blaze!$B$2:$B$10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xVal>
          <c:yVal>
            <c:numRef>
              <c:f>Blaze!$O$2:$O$10</c:f>
              <c:numCache>
                <c:formatCode>General</c:formatCode>
                <c:ptCount val="9"/>
                <c:pt idx="0">
                  <c:v>1.5638899579425294</c:v>
                </c:pt>
                <c:pt idx="1">
                  <c:v>1.5140364028165025</c:v>
                </c:pt>
                <c:pt idx="2">
                  <c:v>1.1650836328092158</c:v>
                </c:pt>
                <c:pt idx="3">
                  <c:v>1.5162463490987104</c:v>
                </c:pt>
                <c:pt idx="4">
                  <c:v>1.1919793178916549</c:v>
                </c:pt>
                <c:pt idx="5">
                  <c:v>1.4380829749877067</c:v>
                </c:pt>
                <c:pt idx="6">
                  <c:v>1.1321948036186784</c:v>
                </c:pt>
                <c:pt idx="7">
                  <c:v>1.4069961574906855</c:v>
                </c:pt>
                <c:pt idx="8">
                  <c:v>1.0812855227050124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7-1948-8FA8-EB017548E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878528"/>
        <c:axId val="1654766112"/>
      </c:scatterChart>
      <c:valAx>
        <c:axId val="165487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66112"/>
        <c:crosses val="autoZero"/>
        <c:crossBetween val="midCat"/>
      </c:valAx>
      <c:valAx>
        <c:axId val="16547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87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Blaze!$B$3:$B$10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</c:numCache>
            </c:numRef>
          </c:xVal>
          <c:yVal>
            <c:numRef>
              <c:f>Blaze!$P$3:$P$10</c:f>
              <c:numCache>
                <c:formatCode>General</c:formatCode>
                <c:ptCount val="8"/>
                <c:pt idx="0">
                  <c:v>-4.9853555126026849E-2</c:v>
                </c:pt>
                <c:pt idx="1">
                  <c:v>-0.34895277000728675</c:v>
                </c:pt>
                <c:pt idx="2">
                  <c:v>0.35116271628949458</c:v>
                </c:pt>
                <c:pt idx="3">
                  <c:v>-0.32426703120705547</c:v>
                </c:pt>
                <c:pt idx="4">
                  <c:v>0.24610365709605175</c:v>
                </c:pt>
                <c:pt idx="5">
                  <c:v>-0.30588817136902824</c:v>
                </c:pt>
                <c:pt idx="6">
                  <c:v>0.2748013538720071</c:v>
                </c:pt>
                <c:pt idx="7">
                  <c:v>-0.32571063478567308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5-7A47-88C0-67752146C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575680"/>
        <c:axId val="1926162976"/>
      </c:scatterChart>
      <c:valAx>
        <c:axId val="161757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62976"/>
        <c:crosses val="autoZero"/>
        <c:crossBetween val="midCat"/>
      </c:valAx>
      <c:valAx>
        <c:axId val="19261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7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Wave peak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'Arrest 2'!$B$2:$B$31</c:f>
              <c:numCache>
                <c:formatCode>General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xVal>
          <c:yVal>
            <c:numRef>
              <c:f>'Arrest 2'!$D$2:$D$31</c:f>
              <c:numCache>
                <c:formatCode>General</c:formatCode>
                <c:ptCount val="30"/>
                <c:pt idx="0">
                  <c:v>4.1083835108846681E-2</c:v>
                </c:pt>
                <c:pt idx="1">
                  <c:v>8.0824455766558584E-2</c:v>
                </c:pt>
                <c:pt idx="2">
                  <c:v>0.11579434923575729</c:v>
                </c:pt>
                <c:pt idx="3">
                  <c:v>0.15548865215377489</c:v>
                </c:pt>
                <c:pt idx="4">
                  <c:v>0.18494673459935154</c:v>
                </c:pt>
                <c:pt idx="5">
                  <c:v>0.21824918943955532</c:v>
                </c:pt>
                <c:pt idx="6">
                  <c:v>0.24608615099583142</c:v>
                </c:pt>
                <c:pt idx="7">
                  <c:v>0.27466419638721629</c:v>
                </c:pt>
                <c:pt idx="8">
                  <c:v>0.30245484020379804</c:v>
                </c:pt>
                <c:pt idx="9">
                  <c:v>0.32783696155627606</c:v>
                </c:pt>
                <c:pt idx="10">
                  <c:v>0.35317276516905977</c:v>
                </c:pt>
                <c:pt idx="11">
                  <c:v>0.37443260768874481</c:v>
                </c:pt>
                <c:pt idx="12">
                  <c:v>0.39564613246873553</c:v>
                </c:pt>
                <c:pt idx="13">
                  <c:v>0.41690597498842058</c:v>
                </c:pt>
                <c:pt idx="14">
                  <c:v>0.43816581750810557</c:v>
                </c:pt>
                <c:pt idx="15">
                  <c:v>0.46350162112088927</c:v>
                </c:pt>
                <c:pt idx="16">
                  <c:v>0.48967114404817041</c:v>
                </c:pt>
                <c:pt idx="17">
                  <c:v>0.52075034738304771</c:v>
                </c:pt>
                <c:pt idx="18">
                  <c:v>0.55182955071792494</c:v>
                </c:pt>
                <c:pt idx="19">
                  <c:v>0.58698471514590089</c:v>
                </c:pt>
                <c:pt idx="20">
                  <c:v>0.61968503937007868</c:v>
                </c:pt>
                <c:pt idx="21">
                  <c:v>0.65891616489115323</c:v>
                </c:pt>
                <c:pt idx="22">
                  <c:v>0.69161648911533113</c:v>
                </c:pt>
                <c:pt idx="23">
                  <c:v>0.73168133395090318</c:v>
                </c:pt>
                <c:pt idx="24">
                  <c:v>0.76924502084298285</c:v>
                </c:pt>
                <c:pt idx="25">
                  <c:v>0.81097730430754977</c:v>
                </c:pt>
                <c:pt idx="26">
                  <c:v>0.84937471051412683</c:v>
                </c:pt>
                <c:pt idx="27">
                  <c:v>0.89272811486799442</c:v>
                </c:pt>
                <c:pt idx="28">
                  <c:v>0.93274664196387214</c:v>
                </c:pt>
                <c:pt idx="29">
                  <c:v>0.97688744789254278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AF-4D00-A93E-FC00DF431E45}"/>
            </c:ext>
          </c:extLst>
        </c:ser>
        <c:ser>
          <c:idx val="1"/>
          <c:order val="1"/>
          <c:tx>
            <c:v>Wave trough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name>Cubic trendline for wave troughs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3.6626243357405643E-2"/>
                  <c:y val="0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'Arrest 2'!$B$2:$B$31</c:f>
              <c:numCache>
                <c:formatCode>General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xVal>
          <c:yVal>
            <c:numRef>
              <c:f>'Arrest 2'!$I$2:$I$31</c:f>
              <c:numCache>
                <c:formatCode>General</c:formatCode>
                <c:ptCount val="30"/>
                <c:pt idx="0">
                  <c:v>8.8003705419175543E-4</c:v>
                </c:pt>
                <c:pt idx="1">
                  <c:v>4.1963872163038443E-2</c:v>
                </c:pt>
                <c:pt idx="2">
                  <c:v>7.6933765632237139E-2</c:v>
                </c:pt>
                <c:pt idx="3">
                  <c:v>0.11542380731820287</c:v>
                </c:pt>
                <c:pt idx="4">
                  <c:v>0.14515979620194533</c:v>
                </c:pt>
                <c:pt idx="5">
                  <c:v>0.18012968967114404</c:v>
                </c:pt>
                <c:pt idx="6">
                  <c:v>0.20546549328392774</c:v>
                </c:pt>
                <c:pt idx="7">
                  <c:v>0.23608151922186196</c:v>
                </c:pt>
                <c:pt idx="8">
                  <c:v>0.26317739694302916</c:v>
                </c:pt>
                <c:pt idx="9">
                  <c:v>0.29031959240389066</c:v>
                </c:pt>
                <c:pt idx="10">
                  <c:v>0.31389532190829084</c:v>
                </c:pt>
                <c:pt idx="11">
                  <c:v>0.33575729504400181</c:v>
                </c:pt>
                <c:pt idx="12">
                  <c:v>0.35673923112552103</c:v>
                </c:pt>
                <c:pt idx="13">
                  <c:v>0.3777211672070403</c:v>
                </c:pt>
                <c:pt idx="14">
                  <c:v>0.39958314034275122</c:v>
                </c:pt>
                <c:pt idx="15">
                  <c:v>0.42496526169522925</c:v>
                </c:pt>
                <c:pt idx="16">
                  <c:v>0.45118110236220471</c:v>
                </c:pt>
                <c:pt idx="17">
                  <c:v>0.48091709124594717</c:v>
                </c:pt>
                <c:pt idx="18">
                  <c:v>0.5124131542380731</c:v>
                </c:pt>
                <c:pt idx="19">
                  <c:v>0.54909680407596106</c:v>
                </c:pt>
                <c:pt idx="20">
                  <c:v>0.57971283001389529</c:v>
                </c:pt>
                <c:pt idx="21">
                  <c:v>0.61908290875405281</c:v>
                </c:pt>
                <c:pt idx="22">
                  <c:v>0.65405280222325157</c:v>
                </c:pt>
                <c:pt idx="23">
                  <c:v>0.69249652616952284</c:v>
                </c:pt>
                <c:pt idx="24">
                  <c:v>0.73010653080129684</c:v>
                </c:pt>
                <c:pt idx="25">
                  <c:v>0.77207040296433527</c:v>
                </c:pt>
                <c:pt idx="26">
                  <c:v>0.81144048170449279</c:v>
                </c:pt>
                <c:pt idx="27">
                  <c:v>0.85340435386753122</c:v>
                </c:pt>
                <c:pt idx="28">
                  <c:v>0.89277443260768874</c:v>
                </c:pt>
                <c:pt idx="29">
                  <c:v>0.93821213524779989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C6-DB42-8D68-54027CF4F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107847"/>
        <c:axId val="2059134471"/>
      </c:scatterChart>
      <c:valAx>
        <c:axId val="205910784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 sine wave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34471"/>
        <c:crosses val="autoZero"/>
        <c:crossBetween val="midCat"/>
      </c:valAx>
      <c:valAx>
        <c:axId val="20591344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 x-coordinate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07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Phase difference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'Arrest 2'!$B$2:$B$31</c:f>
              <c:numCache>
                <c:formatCode>General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xVal>
          <c:yVal>
            <c:numRef>
              <c:f>'Arrest 2'!$G$2:$G$31</c:f>
              <c:numCache>
                <c:formatCode>General</c:formatCode>
                <c:ptCount val="30"/>
                <c:pt idx="0">
                  <c:v>0</c:v>
                </c:pt>
                <c:pt idx="1">
                  <c:v>0.74973408839928268</c:v>
                </c:pt>
                <c:pt idx="2">
                  <c:v>1.6370056026704329</c:v>
                </c:pt>
                <c:pt idx="3">
                  <c:v>2.4932536374216134</c:v>
                </c:pt>
                <c:pt idx="4">
                  <c:v>-3.0102082178227176</c:v>
                </c:pt>
                <c:pt idx="5">
                  <c:v>-2.0588215125436298</c:v>
                </c:pt>
                <c:pt idx="6">
                  <c:v>-1.1095030392325373</c:v>
                </c:pt>
                <c:pt idx="7">
                  <c:v>-0.14260459419346461</c:v>
                </c:pt>
                <c:pt idx="8">
                  <c:v>0.71571167252571755</c:v>
                </c:pt>
                <c:pt idx="9">
                  <c:v>1.3909894100770686</c:v>
                </c:pt>
                <c:pt idx="10">
                  <c:v>2.102461207068389</c:v>
                </c:pt>
                <c:pt idx="11">
                  <c:v>2.7229307974677948</c:v>
                </c:pt>
                <c:pt idx="12">
                  <c:v>2.030073088188459</c:v>
                </c:pt>
                <c:pt idx="13">
                  <c:v>1.4271834695170362</c:v>
                </c:pt>
                <c:pt idx="14">
                  <c:v>0.53267314335788996</c:v>
                </c:pt>
                <c:pt idx="15">
                  <c:v>-0.30599491966530579</c:v>
                </c:pt>
                <c:pt idx="16">
                  <c:v>-1.0185008326406244</c:v>
                </c:pt>
                <c:pt idx="17">
                  <c:v>-2.0950155719835939</c:v>
                </c:pt>
                <c:pt idx="18">
                  <c:v>-2.8985236915508246</c:v>
                </c:pt>
                <c:pt idx="19">
                  <c:v>2.4901512894696172</c:v>
                </c:pt>
                <c:pt idx="20">
                  <c:v>1.5966750792944717</c:v>
                </c:pt>
                <c:pt idx="21">
                  <c:v>0.66493657771136361</c:v>
                </c:pt>
                <c:pt idx="22">
                  <c:v>-0.11892333815988598</c:v>
                </c:pt>
                <c:pt idx="23">
                  <c:v>-0.90381737001513507</c:v>
                </c:pt>
                <c:pt idx="24">
                  <c:v>-1.5615151358385053</c:v>
                </c:pt>
                <c:pt idx="25">
                  <c:v>-2.3639891394217378</c:v>
                </c:pt>
                <c:pt idx="26">
                  <c:v>-2.9120706109412131</c:v>
                </c:pt>
                <c:pt idx="27">
                  <c:v>2.7692591935509494</c:v>
                </c:pt>
                <c:pt idx="28">
                  <c:v>2.3443409357257563</c:v>
                </c:pt>
                <c:pt idx="29">
                  <c:v>1.8521017273422284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E6-4685-9AA4-014ECE77F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191623"/>
        <c:axId val="2046197255"/>
      </c:scatterChart>
      <c:valAx>
        <c:axId val="204619162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 sine wave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197255"/>
        <c:crosses val="autoZero"/>
        <c:crossBetween val="midCat"/>
      </c:valAx>
      <c:valAx>
        <c:axId val="2046197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difference / 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191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Phase difference</c:v>
          </c:tx>
          <c:spPr>
            <a:ln w="381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'Arrest 2'!$B$2:$B$31</c:f>
              <c:numCache>
                <c:formatCode>General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xVal>
          <c:yVal>
            <c:numRef>
              <c:f>'Arrest 2'!$N$2:$N$31</c:f>
              <c:numCache>
                <c:formatCode>General</c:formatCode>
                <c:ptCount val="30"/>
                <c:pt idx="0">
                  <c:v>0</c:v>
                </c:pt>
                <c:pt idx="1">
                  <c:v>0.74973408839928268</c:v>
                </c:pt>
                <c:pt idx="2">
                  <c:v>1.6370056026704329</c:v>
                </c:pt>
                <c:pt idx="3">
                  <c:v>2.4932536374216134</c:v>
                </c:pt>
                <c:pt idx="4">
                  <c:v>3.2729770893568686</c:v>
                </c:pt>
                <c:pt idx="5">
                  <c:v>4.2243637946359565</c:v>
                </c:pt>
                <c:pt idx="6">
                  <c:v>5.1736822679470489</c:v>
                </c:pt>
                <c:pt idx="7">
                  <c:v>6.1405807129861216</c:v>
                </c:pt>
                <c:pt idx="8">
                  <c:v>6.9988969797053038</c:v>
                </c:pt>
                <c:pt idx="9">
                  <c:v>7.6741747172566548</c:v>
                </c:pt>
                <c:pt idx="10">
                  <c:v>8.3856465142479752</c:v>
                </c:pt>
                <c:pt idx="11">
                  <c:v>9.006116104647381</c:v>
                </c:pt>
                <c:pt idx="12">
                  <c:v>8.3132583953680452</c:v>
                </c:pt>
                <c:pt idx="13">
                  <c:v>7.7103687766966225</c:v>
                </c:pt>
                <c:pt idx="14">
                  <c:v>6.8158584505374762</c:v>
                </c:pt>
                <c:pt idx="15">
                  <c:v>5.9771903875142804</c:v>
                </c:pt>
                <c:pt idx="16">
                  <c:v>5.2646844745389618</c:v>
                </c:pt>
                <c:pt idx="17">
                  <c:v>4.1881697351959923</c:v>
                </c:pt>
                <c:pt idx="18">
                  <c:v>3.3846616156287617</c:v>
                </c:pt>
                <c:pt idx="19">
                  <c:v>2.4901512894696172</c:v>
                </c:pt>
                <c:pt idx="20">
                  <c:v>1.5966750792944717</c:v>
                </c:pt>
                <c:pt idx="21">
                  <c:v>0.66493657771136361</c:v>
                </c:pt>
                <c:pt idx="22">
                  <c:v>-0.11892333815988598</c:v>
                </c:pt>
                <c:pt idx="23">
                  <c:v>-0.90381737001513507</c:v>
                </c:pt>
                <c:pt idx="24">
                  <c:v>-1.5615151358385053</c:v>
                </c:pt>
                <c:pt idx="25">
                  <c:v>-2.3639891394217378</c:v>
                </c:pt>
                <c:pt idx="26">
                  <c:v>-2.9120706109412131</c:v>
                </c:pt>
                <c:pt idx="27">
                  <c:v>-3.5139261136286368</c:v>
                </c:pt>
                <c:pt idx="28">
                  <c:v>-3.9388443714538299</c:v>
                </c:pt>
                <c:pt idx="29">
                  <c:v>-4.4310835798373578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30-3946-978D-7BAD13ABDFFA}"/>
            </c:ext>
          </c:extLst>
        </c:ser>
        <c:ser>
          <c:idx val="1"/>
          <c:order val="1"/>
          <c:tx>
            <c:v>g(x) estimate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'Arrest 2'!$B$2:$B$31</c:f>
              <c:numCache>
                <c:formatCode>General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xVal>
          <c:yVal>
            <c:numRef>
              <c:f>'Arrest 2'!$O$2:$O$31</c:f>
              <c:numCache>
                <c:formatCode>General</c:formatCode>
                <c:ptCount val="30"/>
                <c:pt idx="0">
                  <c:v>0</c:v>
                </c:pt>
                <c:pt idx="1">
                  <c:v>0.8275862068965516</c:v>
                </c:pt>
                <c:pt idx="2">
                  <c:v>1.6551724137931032</c:v>
                </c:pt>
                <c:pt idx="3">
                  <c:v>2.4827586206896548</c:v>
                </c:pt>
                <c:pt idx="4">
                  <c:v>3.3103448275862064</c:v>
                </c:pt>
                <c:pt idx="5">
                  <c:v>4.1379310344827589</c:v>
                </c:pt>
                <c:pt idx="6">
                  <c:v>4.9655172413793105</c:v>
                </c:pt>
                <c:pt idx="7">
                  <c:v>5.7931034482758621</c:v>
                </c:pt>
                <c:pt idx="8">
                  <c:v>6.6206896551724137</c:v>
                </c:pt>
                <c:pt idx="9">
                  <c:v>7.4482758620689662</c:v>
                </c:pt>
                <c:pt idx="10">
                  <c:v>8.2758620689655178</c:v>
                </c:pt>
                <c:pt idx="11">
                  <c:v>9.0965517241379317</c:v>
                </c:pt>
                <c:pt idx="12">
                  <c:v>8.2689655172413783</c:v>
                </c:pt>
                <c:pt idx="13">
                  <c:v>7.4413793103448267</c:v>
                </c:pt>
                <c:pt idx="14">
                  <c:v>6.6137931034482751</c:v>
                </c:pt>
                <c:pt idx="15">
                  <c:v>5.7862068965517217</c:v>
                </c:pt>
                <c:pt idx="16">
                  <c:v>4.9586206896551719</c:v>
                </c:pt>
                <c:pt idx="17">
                  <c:v>4.1310344827586221</c:v>
                </c:pt>
                <c:pt idx="18">
                  <c:v>3.3034482758620669</c:v>
                </c:pt>
                <c:pt idx="19">
                  <c:v>2.4758620689655171</c:v>
                </c:pt>
                <c:pt idx="20">
                  <c:v>1.6482758620689637</c:v>
                </c:pt>
                <c:pt idx="21">
                  <c:v>0.8206896551724121</c:v>
                </c:pt>
                <c:pt idx="22">
                  <c:v>-6.8965517241359464E-3</c:v>
                </c:pt>
                <c:pt idx="23">
                  <c:v>-0.8344827586206911</c:v>
                </c:pt>
                <c:pt idx="24">
                  <c:v>-1.6620689655172427</c:v>
                </c:pt>
                <c:pt idx="25">
                  <c:v>-2.4896551724137943</c:v>
                </c:pt>
                <c:pt idx="26">
                  <c:v>-3.3172413793103459</c:v>
                </c:pt>
                <c:pt idx="27">
                  <c:v>-4.1448275862068975</c:v>
                </c:pt>
                <c:pt idx="28">
                  <c:v>-4.9724137931034491</c:v>
                </c:pt>
                <c:pt idx="29">
                  <c:v>-5.8000000000000007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C4-D846-9274-406421217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337216"/>
        <c:axId val="1568628864"/>
      </c:scatterChart>
      <c:valAx>
        <c:axId val="1763337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</a:t>
                </a:r>
                <a:r>
                  <a:rPr lang="en-GB" baseline="0"/>
                  <a:t> sine wave index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628864"/>
        <c:crosses val="autoZero"/>
        <c:crossBetween val="midCat"/>
      </c:valAx>
      <c:valAx>
        <c:axId val="156862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Phase difference / 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3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Ellipse y-axis radii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Hesitate!$H$2:$H$38</c:f>
              <c:numCache>
                <c:formatCode>General</c:formatCode>
                <c:ptCount val="37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0.16666666666666666</c:v>
                </c:pt>
                <c:pt idx="7">
                  <c:v>0.19444444444444445</c:v>
                </c:pt>
                <c:pt idx="8">
                  <c:v>0.22222222222222221</c:v>
                </c:pt>
                <c:pt idx="9">
                  <c:v>0.25</c:v>
                </c:pt>
                <c:pt idx="10">
                  <c:v>0.27777777777777779</c:v>
                </c:pt>
                <c:pt idx="11">
                  <c:v>0.30555555555555558</c:v>
                </c:pt>
                <c:pt idx="12">
                  <c:v>0.33333333333333331</c:v>
                </c:pt>
                <c:pt idx="13">
                  <c:v>0.3611111111111111</c:v>
                </c:pt>
                <c:pt idx="14">
                  <c:v>0.3888888888888889</c:v>
                </c:pt>
                <c:pt idx="15">
                  <c:v>0.41666666666666669</c:v>
                </c:pt>
                <c:pt idx="16">
                  <c:v>0.44444444444444442</c:v>
                </c:pt>
                <c:pt idx="17">
                  <c:v>0.47222222222222221</c:v>
                </c:pt>
                <c:pt idx="18">
                  <c:v>0.5</c:v>
                </c:pt>
                <c:pt idx="19">
                  <c:v>0.52777777777777779</c:v>
                </c:pt>
                <c:pt idx="20">
                  <c:v>0.55555555555555558</c:v>
                </c:pt>
                <c:pt idx="21">
                  <c:v>0.58333333333333337</c:v>
                </c:pt>
                <c:pt idx="22">
                  <c:v>0.61111111111111116</c:v>
                </c:pt>
                <c:pt idx="23">
                  <c:v>0.63888888888888884</c:v>
                </c:pt>
                <c:pt idx="24">
                  <c:v>0.66666666666666663</c:v>
                </c:pt>
                <c:pt idx="25">
                  <c:v>0.69444444444444442</c:v>
                </c:pt>
                <c:pt idx="26">
                  <c:v>0.72222222222222221</c:v>
                </c:pt>
                <c:pt idx="27">
                  <c:v>0.75</c:v>
                </c:pt>
                <c:pt idx="28">
                  <c:v>0.77777777777777779</c:v>
                </c:pt>
                <c:pt idx="29">
                  <c:v>0.80555555555555558</c:v>
                </c:pt>
                <c:pt idx="30">
                  <c:v>0.83333333333333337</c:v>
                </c:pt>
                <c:pt idx="31">
                  <c:v>0.86111111111111116</c:v>
                </c:pt>
                <c:pt idx="32">
                  <c:v>0.88888888888888884</c:v>
                </c:pt>
                <c:pt idx="33">
                  <c:v>0.91666666666666663</c:v>
                </c:pt>
                <c:pt idx="34">
                  <c:v>0.94444444444444442</c:v>
                </c:pt>
                <c:pt idx="35">
                  <c:v>0.97222222222222221</c:v>
                </c:pt>
                <c:pt idx="36">
                  <c:v>1</c:v>
                </c:pt>
              </c:numCache>
            </c:numRef>
          </c:xVal>
          <c:yVal>
            <c:numRef>
              <c:f>Hesitate!$F$2:$F$38</c:f>
              <c:numCache>
                <c:formatCode>General</c:formatCode>
                <c:ptCount val="37"/>
                <c:pt idx="0">
                  <c:v>1.9898477157360407E-2</c:v>
                </c:pt>
                <c:pt idx="1">
                  <c:v>1.8832487309644673E-2</c:v>
                </c:pt>
                <c:pt idx="2">
                  <c:v>1.6751269035532992E-2</c:v>
                </c:pt>
                <c:pt idx="3">
                  <c:v>1.5203045685279186E-2</c:v>
                </c:pt>
                <c:pt idx="4">
                  <c:v>1.4644670050761421E-2</c:v>
                </c:pt>
                <c:pt idx="5">
                  <c:v>1.2563451776649762E-2</c:v>
                </c:pt>
                <c:pt idx="6">
                  <c:v>1.1015228426395948E-2</c:v>
                </c:pt>
                <c:pt idx="7">
                  <c:v>9.4416243654822374E-3</c:v>
                </c:pt>
                <c:pt idx="8">
                  <c:v>8.9086294416243633E-3</c:v>
                </c:pt>
                <c:pt idx="9">
                  <c:v>6.80203045685282E-3</c:v>
                </c:pt>
                <c:pt idx="10">
                  <c:v>5.7614213197969555E-3</c:v>
                </c:pt>
                <c:pt idx="11">
                  <c:v>3.6802030456852541E-3</c:v>
                </c:pt>
                <c:pt idx="12">
                  <c:v>2.1065989847715849E-3</c:v>
                </c:pt>
                <c:pt idx="13">
                  <c:v>2.6142131979695338E-3</c:v>
                </c:pt>
                <c:pt idx="14">
                  <c:v>3.1472081218274217E-3</c:v>
                </c:pt>
                <c:pt idx="15">
                  <c:v>3.6548223350253706E-3</c:v>
                </c:pt>
                <c:pt idx="16">
                  <c:v>5.2284263959390953E-3</c:v>
                </c:pt>
                <c:pt idx="17">
                  <c:v>6.2944162436548157E-3</c:v>
                </c:pt>
                <c:pt idx="18">
                  <c:v>7.8680203045685126E-3</c:v>
                </c:pt>
                <c:pt idx="19">
                  <c:v>8.9086294416243772E-3</c:v>
                </c:pt>
                <c:pt idx="20">
                  <c:v>1.0482233502538074E-2</c:v>
                </c:pt>
                <c:pt idx="21">
                  <c:v>1.2055837563451771E-2</c:v>
                </c:pt>
                <c:pt idx="22">
                  <c:v>1.3629441624365468E-2</c:v>
                </c:pt>
                <c:pt idx="23">
                  <c:v>1.5126903553299459E-2</c:v>
                </c:pt>
                <c:pt idx="24">
                  <c:v>1.6015228426395883E-2</c:v>
                </c:pt>
                <c:pt idx="25">
                  <c:v>1.7791878172588815E-2</c:v>
                </c:pt>
                <c:pt idx="26">
                  <c:v>2.0050761421319785E-2</c:v>
                </c:pt>
                <c:pt idx="27">
                  <c:v>2.0076142131979668E-2</c:v>
                </c:pt>
                <c:pt idx="28">
                  <c:v>2.0736040609137085E-2</c:v>
                </c:pt>
                <c:pt idx="29">
                  <c:v>2.0761421319796913E-2</c:v>
                </c:pt>
                <c:pt idx="30">
                  <c:v>2.0076142131979779E-2</c:v>
                </c:pt>
                <c:pt idx="31">
                  <c:v>2.0050761421319729E-2</c:v>
                </c:pt>
                <c:pt idx="32">
                  <c:v>2.0761421319796969E-2</c:v>
                </c:pt>
                <c:pt idx="33">
                  <c:v>2.0050761421319785E-2</c:v>
                </c:pt>
                <c:pt idx="34">
                  <c:v>2.0076142131979724E-2</c:v>
                </c:pt>
                <c:pt idx="35">
                  <c:v>2.073604060913703E-2</c:v>
                </c:pt>
                <c:pt idx="36">
                  <c:v>2.0583756345177673E-2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7-9844-B4C1-AA8767E815C4}"/>
            </c:ext>
          </c:extLst>
        </c:ser>
        <c:ser>
          <c:idx val="1"/>
          <c:order val="1"/>
          <c:tx>
            <c:v>f(x) estimate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Hesitate!$H$2:$H$38</c:f>
              <c:numCache>
                <c:formatCode>General</c:formatCode>
                <c:ptCount val="37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0.16666666666666666</c:v>
                </c:pt>
                <c:pt idx="7">
                  <c:v>0.19444444444444445</c:v>
                </c:pt>
                <c:pt idx="8">
                  <c:v>0.22222222222222221</c:v>
                </c:pt>
                <c:pt idx="9">
                  <c:v>0.25</c:v>
                </c:pt>
                <c:pt idx="10">
                  <c:v>0.27777777777777779</c:v>
                </c:pt>
                <c:pt idx="11">
                  <c:v>0.30555555555555558</c:v>
                </c:pt>
                <c:pt idx="12">
                  <c:v>0.33333333333333331</c:v>
                </c:pt>
                <c:pt idx="13">
                  <c:v>0.3611111111111111</c:v>
                </c:pt>
                <c:pt idx="14">
                  <c:v>0.3888888888888889</c:v>
                </c:pt>
                <c:pt idx="15">
                  <c:v>0.41666666666666669</c:v>
                </c:pt>
                <c:pt idx="16">
                  <c:v>0.44444444444444442</c:v>
                </c:pt>
                <c:pt idx="17">
                  <c:v>0.47222222222222221</c:v>
                </c:pt>
                <c:pt idx="18">
                  <c:v>0.5</c:v>
                </c:pt>
                <c:pt idx="19">
                  <c:v>0.52777777777777779</c:v>
                </c:pt>
                <c:pt idx="20">
                  <c:v>0.55555555555555558</c:v>
                </c:pt>
                <c:pt idx="21">
                  <c:v>0.58333333333333337</c:v>
                </c:pt>
                <c:pt idx="22">
                  <c:v>0.61111111111111116</c:v>
                </c:pt>
                <c:pt idx="23">
                  <c:v>0.63888888888888884</c:v>
                </c:pt>
                <c:pt idx="24">
                  <c:v>0.66666666666666663</c:v>
                </c:pt>
                <c:pt idx="25">
                  <c:v>0.69444444444444442</c:v>
                </c:pt>
                <c:pt idx="26">
                  <c:v>0.72222222222222221</c:v>
                </c:pt>
                <c:pt idx="27">
                  <c:v>0.75</c:v>
                </c:pt>
                <c:pt idx="28">
                  <c:v>0.77777777777777779</c:v>
                </c:pt>
                <c:pt idx="29">
                  <c:v>0.80555555555555558</c:v>
                </c:pt>
                <c:pt idx="30">
                  <c:v>0.83333333333333337</c:v>
                </c:pt>
                <c:pt idx="31">
                  <c:v>0.86111111111111116</c:v>
                </c:pt>
                <c:pt idx="32">
                  <c:v>0.88888888888888884</c:v>
                </c:pt>
                <c:pt idx="33">
                  <c:v>0.91666666666666663</c:v>
                </c:pt>
                <c:pt idx="34">
                  <c:v>0.94444444444444442</c:v>
                </c:pt>
                <c:pt idx="35">
                  <c:v>0.97222222222222221</c:v>
                </c:pt>
                <c:pt idx="36">
                  <c:v>1</c:v>
                </c:pt>
              </c:numCache>
            </c:numRef>
          </c:xVal>
          <c:yVal>
            <c:numRef>
              <c:f>Hesitate!$G$2:$G$38</c:f>
              <c:numCache>
                <c:formatCode>General</c:formatCode>
                <c:ptCount val="37"/>
                <c:pt idx="0">
                  <c:v>1.9980000000000001E-2</c:v>
                </c:pt>
                <c:pt idx="1">
                  <c:v>1.8535555555555555E-2</c:v>
                </c:pt>
                <c:pt idx="2">
                  <c:v>1.7091111111111109E-2</c:v>
                </c:pt>
                <c:pt idx="3">
                  <c:v>1.5646666666666666E-2</c:v>
                </c:pt>
                <c:pt idx="4">
                  <c:v>1.420222222222222E-2</c:v>
                </c:pt>
                <c:pt idx="5">
                  <c:v>1.2757777777777778E-2</c:v>
                </c:pt>
                <c:pt idx="6">
                  <c:v>1.1313333333333331E-2</c:v>
                </c:pt>
                <c:pt idx="7">
                  <c:v>9.8688888888888888E-3</c:v>
                </c:pt>
                <c:pt idx="8">
                  <c:v>8.4244444444444445E-3</c:v>
                </c:pt>
                <c:pt idx="9">
                  <c:v>6.9799999999999992E-3</c:v>
                </c:pt>
                <c:pt idx="10">
                  <c:v>5.535555555555554E-3</c:v>
                </c:pt>
                <c:pt idx="11">
                  <c:v>4.0911111111111096E-3</c:v>
                </c:pt>
                <c:pt idx="12">
                  <c:v>2.646666666666667E-3</c:v>
                </c:pt>
                <c:pt idx="13">
                  <c:v>1.2022222222222221E-3</c:v>
                </c:pt>
                <c:pt idx="14">
                  <c:v>2.2422222222222227E-3</c:v>
                </c:pt>
                <c:pt idx="15">
                  <c:v>3.686666666666668E-3</c:v>
                </c:pt>
                <c:pt idx="16">
                  <c:v>5.1311111111111097E-3</c:v>
                </c:pt>
                <c:pt idx="17">
                  <c:v>6.575555555555555E-3</c:v>
                </c:pt>
                <c:pt idx="18">
                  <c:v>8.0199999999999994E-3</c:v>
                </c:pt>
                <c:pt idx="19">
                  <c:v>9.4644444444444455E-3</c:v>
                </c:pt>
                <c:pt idx="20">
                  <c:v>1.0908888888888892E-2</c:v>
                </c:pt>
                <c:pt idx="21">
                  <c:v>1.2353333333333334E-2</c:v>
                </c:pt>
                <c:pt idx="22">
                  <c:v>1.379777777777778E-2</c:v>
                </c:pt>
                <c:pt idx="23">
                  <c:v>1.524222222222222E-2</c:v>
                </c:pt>
                <c:pt idx="24">
                  <c:v>1.6686666666666666E-2</c:v>
                </c:pt>
                <c:pt idx="25">
                  <c:v>1.8131111111111112E-2</c:v>
                </c:pt>
                <c:pt idx="26">
                  <c:v>1.9575555555555554E-2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B7-9844-B4C1-AA8767E81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359456"/>
        <c:axId val="2052721600"/>
      </c:scatterChart>
      <c:valAx>
        <c:axId val="20523594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row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721600"/>
        <c:crosses val="autoZero"/>
        <c:crossBetween val="midCat"/>
      </c:valAx>
      <c:valAx>
        <c:axId val="205272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ellipse y-axis</a:t>
                </a:r>
                <a:r>
                  <a:rPr lang="en-GB" baseline="0"/>
                  <a:t> radius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35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Ellipse upper bounds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Hesitate!$H$2:$H$38</c:f>
              <c:numCache>
                <c:formatCode>General</c:formatCode>
                <c:ptCount val="37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0.16666666666666666</c:v>
                </c:pt>
                <c:pt idx="7">
                  <c:v>0.19444444444444445</c:v>
                </c:pt>
                <c:pt idx="8">
                  <c:v>0.22222222222222221</c:v>
                </c:pt>
                <c:pt idx="9">
                  <c:v>0.25</c:v>
                </c:pt>
                <c:pt idx="10">
                  <c:v>0.27777777777777779</c:v>
                </c:pt>
                <c:pt idx="11">
                  <c:v>0.30555555555555558</c:v>
                </c:pt>
                <c:pt idx="12">
                  <c:v>0.33333333333333331</c:v>
                </c:pt>
                <c:pt idx="13">
                  <c:v>0.3611111111111111</c:v>
                </c:pt>
                <c:pt idx="14">
                  <c:v>0.3888888888888889</c:v>
                </c:pt>
                <c:pt idx="15">
                  <c:v>0.41666666666666669</c:v>
                </c:pt>
                <c:pt idx="16">
                  <c:v>0.44444444444444442</c:v>
                </c:pt>
                <c:pt idx="17">
                  <c:v>0.47222222222222221</c:v>
                </c:pt>
                <c:pt idx="18">
                  <c:v>0.5</c:v>
                </c:pt>
                <c:pt idx="19">
                  <c:v>0.52777777777777779</c:v>
                </c:pt>
                <c:pt idx="20">
                  <c:v>0.55555555555555558</c:v>
                </c:pt>
                <c:pt idx="21">
                  <c:v>0.58333333333333337</c:v>
                </c:pt>
                <c:pt idx="22">
                  <c:v>0.61111111111111116</c:v>
                </c:pt>
                <c:pt idx="23">
                  <c:v>0.63888888888888884</c:v>
                </c:pt>
                <c:pt idx="24">
                  <c:v>0.66666666666666663</c:v>
                </c:pt>
                <c:pt idx="25">
                  <c:v>0.69444444444444442</c:v>
                </c:pt>
                <c:pt idx="26">
                  <c:v>0.72222222222222221</c:v>
                </c:pt>
                <c:pt idx="27">
                  <c:v>0.75</c:v>
                </c:pt>
                <c:pt idx="28">
                  <c:v>0.77777777777777779</c:v>
                </c:pt>
                <c:pt idx="29">
                  <c:v>0.80555555555555558</c:v>
                </c:pt>
                <c:pt idx="30">
                  <c:v>0.83333333333333337</c:v>
                </c:pt>
                <c:pt idx="31">
                  <c:v>0.86111111111111116</c:v>
                </c:pt>
                <c:pt idx="32">
                  <c:v>0.88888888888888884</c:v>
                </c:pt>
                <c:pt idx="33">
                  <c:v>0.91666666666666663</c:v>
                </c:pt>
                <c:pt idx="34">
                  <c:v>0.94444444444444442</c:v>
                </c:pt>
                <c:pt idx="35">
                  <c:v>0.97222222222222221</c:v>
                </c:pt>
                <c:pt idx="36">
                  <c:v>1</c:v>
                </c:pt>
              </c:numCache>
            </c:numRef>
          </c:xVal>
          <c:yVal>
            <c:numRef>
              <c:f>Hesitate!$C$2:$C$38</c:f>
              <c:numCache>
                <c:formatCode>General</c:formatCode>
                <c:ptCount val="37"/>
                <c:pt idx="0">
                  <c:v>0</c:v>
                </c:pt>
                <c:pt idx="1">
                  <c:v>4.0862944162436549E-2</c:v>
                </c:pt>
                <c:pt idx="2">
                  <c:v>7.9593908629441629E-2</c:v>
                </c:pt>
                <c:pt idx="3">
                  <c:v>0.1151776649746193</c:v>
                </c:pt>
                <c:pt idx="4">
                  <c:v>0.14558375634517767</c:v>
                </c:pt>
                <c:pt idx="5">
                  <c:v>0.17385786802030456</c:v>
                </c:pt>
                <c:pt idx="6">
                  <c:v>0.19999999999999998</c:v>
                </c:pt>
                <c:pt idx="7">
                  <c:v>0.22304568527918781</c:v>
                </c:pt>
                <c:pt idx="8">
                  <c:v>0.24294416243654823</c:v>
                </c:pt>
                <c:pt idx="9">
                  <c:v>0.25969543147208118</c:v>
                </c:pt>
                <c:pt idx="10">
                  <c:v>0.27228426395939087</c:v>
                </c:pt>
                <c:pt idx="11">
                  <c:v>0.28274111675126906</c:v>
                </c:pt>
                <c:pt idx="12">
                  <c:v>0.29111675126903552</c:v>
                </c:pt>
                <c:pt idx="13">
                  <c:v>0.29532994923857869</c:v>
                </c:pt>
                <c:pt idx="14">
                  <c:v>0.30055837563451776</c:v>
                </c:pt>
                <c:pt idx="15">
                  <c:v>0.3068527918781726</c:v>
                </c:pt>
                <c:pt idx="16">
                  <c:v>0.31416243654822334</c:v>
                </c:pt>
                <c:pt idx="17">
                  <c:v>0.32568527918781726</c:v>
                </c:pt>
                <c:pt idx="18">
                  <c:v>0.33928934010152284</c:v>
                </c:pt>
                <c:pt idx="19">
                  <c:v>0.35604060913705582</c:v>
                </c:pt>
                <c:pt idx="20">
                  <c:v>0.37593908629441625</c:v>
                </c:pt>
                <c:pt idx="21">
                  <c:v>0.39791878172588835</c:v>
                </c:pt>
                <c:pt idx="22">
                  <c:v>0.42411167512690356</c:v>
                </c:pt>
                <c:pt idx="23">
                  <c:v>0.45025380710659901</c:v>
                </c:pt>
                <c:pt idx="24">
                  <c:v>0.48228426395939089</c:v>
                </c:pt>
                <c:pt idx="25">
                  <c:v>0.5161421319796955</c:v>
                </c:pt>
                <c:pt idx="26">
                  <c:v>0.55208121827411172</c:v>
                </c:pt>
                <c:pt idx="27">
                  <c:v>0.59218274111675129</c:v>
                </c:pt>
                <c:pt idx="28">
                  <c:v>0.63233502538071062</c:v>
                </c:pt>
                <c:pt idx="29">
                  <c:v>0.6738071065989848</c:v>
                </c:pt>
                <c:pt idx="30">
                  <c:v>0.71532994923857862</c:v>
                </c:pt>
                <c:pt idx="31">
                  <c:v>0.75548223350253818</c:v>
                </c:pt>
                <c:pt idx="32">
                  <c:v>0.79558375634517764</c:v>
                </c:pt>
                <c:pt idx="33">
                  <c:v>0.83710659898477158</c:v>
                </c:pt>
                <c:pt idx="34">
                  <c:v>0.87720812182741115</c:v>
                </c:pt>
                <c:pt idx="35">
                  <c:v>0.91736040609137059</c:v>
                </c:pt>
                <c:pt idx="36">
                  <c:v>0.95883248730964465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7-054E-9D8F-B3EB4406DD4B}"/>
            </c:ext>
          </c:extLst>
        </c:ser>
        <c:ser>
          <c:idx val="1"/>
          <c:order val="1"/>
          <c:tx>
            <c:v>Ellipse lower bounds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Hesitate!$H$2:$H$38</c:f>
              <c:numCache>
                <c:formatCode>General</c:formatCode>
                <c:ptCount val="37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0.16666666666666666</c:v>
                </c:pt>
                <c:pt idx="7">
                  <c:v>0.19444444444444445</c:v>
                </c:pt>
                <c:pt idx="8">
                  <c:v>0.22222222222222221</c:v>
                </c:pt>
                <c:pt idx="9">
                  <c:v>0.25</c:v>
                </c:pt>
                <c:pt idx="10">
                  <c:v>0.27777777777777779</c:v>
                </c:pt>
                <c:pt idx="11">
                  <c:v>0.30555555555555558</c:v>
                </c:pt>
                <c:pt idx="12">
                  <c:v>0.33333333333333331</c:v>
                </c:pt>
                <c:pt idx="13">
                  <c:v>0.3611111111111111</c:v>
                </c:pt>
                <c:pt idx="14">
                  <c:v>0.3888888888888889</c:v>
                </c:pt>
                <c:pt idx="15">
                  <c:v>0.41666666666666669</c:v>
                </c:pt>
                <c:pt idx="16">
                  <c:v>0.44444444444444442</c:v>
                </c:pt>
                <c:pt idx="17">
                  <c:v>0.47222222222222221</c:v>
                </c:pt>
                <c:pt idx="18">
                  <c:v>0.5</c:v>
                </c:pt>
                <c:pt idx="19">
                  <c:v>0.52777777777777779</c:v>
                </c:pt>
                <c:pt idx="20">
                  <c:v>0.55555555555555558</c:v>
                </c:pt>
                <c:pt idx="21">
                  <c:v>0.58333333333333337</c:v>
                </c:pt>
                <c:pt idx="22">
                  <c:v>0.61111111111111116</c:v>
                </c:pt>
                <c:pt idx="23">
                  <c:v>0.63888888888888884</c:v>
                </c:pt>
                <c:pt idx="24">
                  <c:v>0.66666666666666663</c:v>
                </c:pt>
                <c:pt idx="25">
                  <c:v>0.69444444444444442</c:v>
                </c:pt>
                <c:pt idx="26">
                  <c:v>0.72222222222222221</c:v>
                </c:pt>
                <c:pt idx="27">
                  <c:v>0.75</c:v>
                </c:pt>
                <c:pt idx="28">
                  <c:v>0.77777777777777779</c:v>
                </c:pt>
                <c:pt idx="29">
                  <c:v>0.80555555555555558</c:v>
                </c:pt>
                <c:pt idx="30">
                  <c:v>0.83333333333333337</c:v>
                </c:pt>
                <c:pt idx="31">
                  <c:v>0.86111111111111116</c:v>
                </c:pt>
                <c:pt idx="32">
                  <c:v>0.88888888888888884</c:v>
                </c:pt>
                <c:pt idx="33">
                  <c:v>0.91666666666666663</c:v>
                </c:pt>
                <c:pt idx="34">
                  <c:v>0.94444444444444442</c:v>
                </c:pt>
                <c:pt idx="35">
                  <c:v>0.97222222222222221</c:v>
                </c:pt>
                <c:pt idx="36">
                  <c:v>1</c:v>
                </c:pt>
              </c:numCache>
            </c:numRef>
          </c:xVal>
          <c:yVal>
            <c:numRef>
              <c:f>Hesitate!$D$2:$D$38</c:f>
              <c:numCache>
                <c:formatCode>General</c:formatCode>
                <c:ptCount val="37"/>
                <c:pt idx="0">
                  <c:v>3.9796954314720814E-2</c:v>
                </c:pt>
                <c:pt idx="1">
                  <c:v>7.8527918781725894E-2</c:v>
                </c:pt>
                <c:pt idx="2">
                  <c:v>0.11309644670050761</c:v>
                </c:pt>
                <c:pt idx="3">
                  <c:v>0.14558375634517767</c:v>
                </c:pt>
                <c:pt idx="4">
                  <c:v>0.17487309644670052</c:v>
                </c:pt>
                <c:pt idx="5">
                  <c:v>0.19898477157360409</c:v>
                </c:pt>
                <c:pt idx="6">
                  <c:v>0.22203045685279188</c:v>
                </c:pt>
                <c:pt idx="7">
                  <c:v>0.24192893401015228</c:v>
                </c:pt>
                <c:pt idx="8">
                  <c:v>0.26076142131979696</c:v>
                </c:pt>
                <c:pt idx="9">
                  <c:v>0.27329949238578682</c:v>
                </c:pt>
                <c:pt idx="10">
                  <c:v>0.28380710659898478</c:v>
                </c:pt>
                <c:pt idx="11">
                  <c:v>0.29010152284263957</c:v>
                </c:pt>
                <c:pt idx="12">
                  <c:v>0.29532994923857869</c:v>
                </c:pt>
                <c:pt idx="13">
                  <c:v>0.30055837563451776</c:v>
                </c:pt>
                <c:pt idx="14">
                  <c:v>0.3068527918781726</c:v>
                </c:pt>
                <c:pt idx="15">
                  <c:v>0.31416243654822334</c:v>
                </c:pt>
                <c:pt idx="16">
                  <c:v>0.32461928934010154</c:v>
                </c:pt>
                <c:pt idx="17">
                  <c:v>0.33827411167512689</c:v>
                </c:pt>
                <c:pt idx="18">
                  <c:v>0.35502538071065987</c:v>
                </c:pt>
                <c:pt idx="19">
                  <c:v>0.37385786802030457</c:v>
                </c:pt>
                <c:pt idx="20">
                  <c:v>0.3969035532994924</c:v>
                </c:pt>
                <c:pt idx="21">
                  <c:v>0.42203045685279189</c:v>
                </c:pt>
                <c:pt idx="22">
                  <c:v>0.4513705583756345</c:v>
                </c:pt>
                <c:pt idx="23">
                  <c:v>0.48050761421319793</c:v>
                </c:pt>
                <c:pt idx="24">
                  <c:v>0.51431472081218266</c:v>
                </c:pt>
                <c:pt idx="25">
                  <c:v>0.55172588832487313</c:v>
                </c:pt>
                <c:pt idx="26">
                  <c:v>0.59218274111675129</c:v>
                </c:pt>
                <c:pt idx="27">
                  <c:v>0.63233502538071062</c:v>
                </c:pt>
                <c:pt idx="28">
                  <c:v>0.6738071065989848</c:v>
                </c:pt>
                <c:pt idx="29">
                  <c:v>0.71532994923857862</c:v>
                </c:pt>
                <c:pt idx="30">
                  <c:v>0.75548223350253818</c:v>
                </c:pt>
                <c:pt idx="31">
                  <c:v>0.79558375634517764</c:v>
                </c:pt>
                <c:pt idx="32">
                  <c:v>0.83710659898477158</c:v>
                </c:pt>
                <c:pt idx="33">
                  <c:v>0.87720812182741115</c:v>
                </c:pt>
                <c:pt idx="34">
                  <c:v>0.91736040609137059</c:v>
                </c:pt>
                <c:pt idx="35">
                  <c:v>0.95883248730964465</c:v>
                </c:pt>
                <c:pt idx="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E7-054E-9D8F-B3EB4406D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822816"/>
        <c:axId val="2052824528"/>
      </c:scatterChart>
      <c:valAx>
        <c:axId val="20528228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</a:t>
                </a:r>
                <a:r>
                  <a:rPr lang="en-GB" baseline="0"/>
                  <a:t> row index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824528"/>
        <c:crosses val="autoZero"/>
        <c:crossBetween val="midCat"/>
      </c:valAx>
      <c:valAx>
        <c:axId val="2052824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y-coordinate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82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True grid-line locations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Cubic trendline of true grid-line locations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>
                <c:manualLayout>
                  <c:x val="-6.0623850751854093E-2"/>
                  <c:y val="-2.925264333334561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'Movement In Squares'!$A$2:$A$33</c:f>
              <c:numCache>
                <c:formatCode>General</c:formatCode>
                <c:ptCount val="32"/>
                <c:pt idx="0">
                  <c:v>0</c:v>
                </c:pt>
                <c:pt idx="1">
                  <c:v>3.2258064516129031E-2</c:v>
                </c:pt>
                <c:pt idx="2">
                  <c:v>6.4516129032258063E-2</c:v>
                </c:pt>
                <c:pt idx="3">
                  <c:v>9.6774193548387094E-2</c:v>
                </c:pt>
                <c:pt idx="4">
                  <c:v>0.12903225806451613</c:v>
                </c:pt>
                <c:pt idx="5">
                  <c:v>0.16129032258064516</c:v>
                </c:pt>
                <c:pt idx="6">
                  <c:v>0.19354838709677419</c:v>
                </c:pt>
                <c:pt idx="7">
                  <c:v>0.22580645161290322</c:v>
                </c:pt>
                <c:pt idx="8">
                  <c:v>0.25806451612903225</c:v>
                </c:pt>
                <c:pt idx="9">
                  <c:v>0.29032258064516131</c:v>
                </c:pt>
                <c:pt idx="10">
                  <c:v>0.32258064516129031</c:v>
                </c:pt>
                <c:pt idx="11">
                  <c:v>0.35483870967741937</c:v>
                </c:pt>
                <c:pt idx="12">
                  <c:v>0.38709677419354838</c:v>
                </c:pt>
                <c:pt idx="13">
                  <c:v>0.41935483870967744</c:v>
                </c:pt>
                <c:pt idx="14">
                  <c:v>0.45161290322580644</c:v>
                </c:pt>
                <c:pt idx="15">
                  <c:v>0.4838709677419355</c:v>
                </c:pt>
                <c:pt idx="16">
                  <c:v>0.5161290322580645</c:v>
                </c:pt>
                <c:pt idx="17">
                  <c:v>0.54838709677419351</c:v>
                </c:pt>
                <c:pt idx="18">
                  <c:v>0.58064516129032262</c:v>
                </c:pt>
                <c:pt idx="19">
                  <c:v>0.61290322580645162</c:v>
                </c:pt>
                <c:pt idx="20">
                  <c:v>0.64516129032258063</c:v>
                </c:pt>
                <c:pt idx="21">
                  <c:v>0.67741935483870963</c:v>
                </c:pt>
                <c:pt idx="22">
                  <c:v>0.70967741935483875</c:v>
                </c:pt>
                <c:pt idx="23">
                  <c:v>0.74193548387096775</c:v>
                </c:pt>
                <c:pt idx="24">
                  <c:v>0.77419354838709675</c:v>
                </c:pt>
                <c:pt idx="25">
                  <c:v>0.80645161290322576</c:v>
                </c:pt>
                <c:pt idx="26">
                  <c:v>0.83870967741935487</c:v>
                </c:pt>
                <c:pt idx="27">
                  <c:v>0.87096774193548387</c:v>
                </c:pt>
                <c:pt idx="28">
                  <c:v>0.90322580645161288</c:v>
                </c:pt>
                <c:pt idx="29">
                  <c:v>0.93548387096774188</c:v>
                </c:pt>
                <c:pt idx="30">
                  <c:v>0.967741935483871</c:v>
                </c:pt>
                <c:pt idx="31">
                  <c:v>1</c:v>
                </c:pt>
              </c:numCache>
            </c:numRef>
          </c:xVal>
          <c:yVal>
            <c:numRef>
              <c:f>'Movement In Squares'!$B$2:$B$33</c:f>
              <c:numCache>
                <c:formatCode>General</c:formatCode>
                <c:ptCount val="32"/>
                <c:pt idx="0">
                  <c:v>0</c:v>
                </c:pt>
                <c:pt idx="1">
                  <c:v>8.0894308943089424E-2</c:v>
                </c:pt>
                <c:pt idx="2">
                  <c:v>0.16463414634146342</c:v>
                </c:pt>
                <c:pt idx="3">
                  <c:v>0.24837398373983741</c:v>
                </c:pt>
                <c:pt idx="4">
                  <c:v>0.32162601626016263</c:v>
                </c:pt>
                <c:pt idx="5">
                  <c:v>0.39008130081300812</c:v>
                </c:pt>
                <c:pt idx="6">
                  <c:v>0.4484552845528455</c:v>
                </c:pt>
                <c:pt idx="7">
                  <c:v>0.48959349593495932</c:v>
                </c:pt>
                <c:pt idx="8">
                  <c:v>0.52024390243902441</c:v>
                </c:pt>
                <c:pt idx="9">
                  <c:v>0.54747967479674797</c:v>
                </c:pt>
                <c:pt idx="10">
                  <c:v>0.56902439024390239</c:v>
                </c:pt>
                <c:pt idx="11">
                  <c:v>0.58626016260162606</c:v>
                </c:pt>
                <c:pt idx="12">
                  <c:v>0.60398373983739839</c:v>
                </c:pt>
                <c:pt idx="13">
                  <c:v>0.61642276422764219</c:v>
                </c:pt>
                <c:pt idx="14">
                  <c:v>0.62699186991869926</c:v>
                </c:pt>
                <c:pt idx="15">
                  <c:v>0.63601626016260171</c:v>
                </c:pt>
                <c:pt idx="16">
                  <c:v>0.64276422764227648</c:v>
                </c:pt>
                <c:pt idx="17">
                  <c:v>0.64845528455284562</c:v>
                </c:pt>
                <c:pt idx="18">
                  <c:v>0.65276422764227648</c:v>
                </c:pt>
                <c:pt idx="19">
                  <c:v>0.65951219512195125</c:v>
                </c:pt>
                <c:pt idx="20">
                  <c:v>0.66861788617886175</c:v>
                </c:pt>
                <c:pt idx="21">
                  <c:v>0.68056910569105689</c:v>
                </c:pt>
                <c:pt idx="22">
                  <c:v>0.69252032520325213</c:v>
                </c:pt>
                <c:pt idx="23">
                  <c:v>0.70878048780487812</c:v>
                </c:pt>
                <c:pt idx="24">
                  <c:v>0.72699186991869924</c:v>
                </c:pt>
                <c:pt idx="25">
                  <c:v>0.7475609756097561</c:v>
                </c:pt>
                <c:pt idx="26">
                  <c:v>0.77341463414634137</c:v>
                </c:pt>
                <c:pt idx="27">
                  <c:v>0.80593495934959347</c:v>
                </c:pt>
                <c:pt idx="28">
                  <c:v>0.84235772357723582</c:v>
                </c:pt>
                <c:pt idx="29">
                  <c:v>0.88349593495934964</c:v>
                </c:pt>
                <c:pt idx="30">
                  <c:v>0.93658536585365859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9-7846-9B63-21547ECF83FB}"/>
            </c:ext>
          </c:extLst>
        </c:ser>
        <c:ser>
          <c:idx val="1"/>
          <c:order val="1"/>
          <c:tx>
            <c:v>Stuart-Matthew's cubic estimate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'Movement In Squares'!$A$2:$A$33</c:f>
              <c:numCache>
                <c:formatCode>General</c:formatCode>
                <c:ptCount val="32"/>
                <c:pt idx="0">
                  <c:v>0</c:v>
                </c:pt>
                <c:pt idx="1">
                  <c:v>3.2258064516129031E-2</c:v>
                </c:pt>
                <c:pt idx="2">
                  <c:v>6.4516129032258063E-2</c:v>
                </c:pt>
                <c:pt idx="3">
                  <c:v>9.6774193548387094E-2</c:v>
                </c:pt>
                <c:pt idx="4">
                  <c:v>0.12903225806451613</c:v>
                </c:pt>
                <c:pt idx="5">
                  <c:v>0.16129032258064516</c:v>
                </c:pt>
                <c:pt idx="6">
                  <c:v>0.19354838709677419</c:v>
                </c:pt>
                <c:pt idx="7">
                  <c:v>0.22580645161290322</c:v>
                </c:pt>
                <c:pt idx="8">
                  <c:v>0.25806451612903225</c:v>
                </c:pt>
                <c:pt idx="9">
                  <c:v>0.29032258064516131</c:v>
                </c:pt>
                <c:pt idx="10">
                  <c:v>0.32258064516129031</c:v>
                </c:pt>
                <c:pt idx="11">
                  <c:v>0.35483870967741937</c:v>
                </c:pt>
                <c:pt idx="12">
                  <c:v>0.38709677419354838</c:v>
                </c:pt>
                <c:pt idx="13">
                  <c:v>0.41935483870967744</c:v>
                </c:pt>
                <c:pt idx="14">
                  <c:v>0.45161290322580644</c:v>
                </c:pt>
                <c:pt idx="15">
                  <c:v>0.4838709677419355</c:v>
                </c:pt>
                <c:pt idx="16">
                  <c:v>0.5161290322580645</c:v>
                </c:pt>
                <c:pt idx="17">
                  <c:v>0.54838709677419351</c:v>
                </c:pt>
                <c:pt idx="18">
                  <c:v>0.58064516129032262</c:v>
                </c:pt>
                <c:pt idx="19">
                  <c:v>0.61290322580645162</c:v>
                </c:pt>
                <c:pt idx="20">
                  <c:v>0.64516129032258063</c:v>
                </c:pt>
                <c:pt idx="21">
                  <c:v>0.67741935483870963</c:v>
                </c:pt>
                <c:pt idx="22">
                  <c:v>0.70967741935483875</c:v>
                </c:pt>
                <c:pt idx="23">
                  <c:v>0.74193548387096775</c:v>
                </c:pt>
                <c:pt idx="24">
                  <c:v>0.77419354838709675</c:v>
                </c:pt>
                <c:pt idx="25">
                  <c:v>0.80645161290322576</c:v>
                </c:pt>
                <c:pt idx="26">
                  <c:v>0.83870967741935487</c:v>
                </c:pt>
                <c:pt idx="27">
                  <c:v>0.87096774193548387</c:v>
                </c:pt>
                <c:pt idx="28">
                  <c:v>0.90322580645161288</c:v>
                </c:pt>
                <c:pt idx="29">
                  <c:v>0.93548387096774188</c:v>
                </c:pt>
                <c:pt idx="30">
                  <c:v>0.967741935483871</c:v>
                </c:pt>
                <c:pt idx="31">
                  <c:v>1</c:v>
                </c:pt>
              </c:numCache>
            </c:numRef>
          </c:xVal>
          <c:yVal>
            <c:numRef>
              <c:f>'Movement In Squares'!$E$2:$E$33</c:f>
            </c:numRef>
          </c:yVal>
          <c:smooth val="0"/>
          <c:extLst>
            <c:ext xmlns:c16="http://schemas.microsoft.com/office/drawing/2014/chart" uri="{C3380CC4-5D6E-409C-BE32-E72D297353CC}">
              <c16:uniqueId val="{00000002-1CC9-7846-9B63-21547ECF8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349904"/>
        <c:axId val="369351616"/>
      </c:scatterChart>
      <c:valAx>
        <c:axId val="3693499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</a:t>
                </a:r>
                <a:r>
                  <a:rPr lang="en-GB" baseline="0"/>
                  <a:t> column index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51616"/>
        <c:crosses val="autoZero"/>
        <c:crossBetween val="midCat"/>
      </c:valAx>
      <c:valAx>
        <c:axId val="3693516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grid-line x-coordinate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4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'Cantus Firmus'!$D$1</c:f>
              <c:strCache>
                <c:ptCount val="1"/>
                <c:pt idx="0">
                  <c:v>Width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'Cantus Firmus'!$B$2:$B$144</c:f>
              <c:numCache>
                <c:formatCode>General</c:formatCode>
                <c:ptCount val="143"/>
                <c:pt idx="0">
                  <c:v>2.0921077986070969E-3</c:v>
                </c:pt>
                <c:pt idx="1">
                  <c:v>5.7808241803617147E-3</c:v>
                </c:pt>
                <c:pt idx="2">
                  <c:v>1.1176260082032647E-2</c:v>
                </c:pt>
                <c:pt idx="3">
                  <c:v>2.9537258788229142E-2</c:v>
                </c:pt>
                <c:pt idx="4">
                  <c:v>3.4905166955707875E-2</c:v>
                </c:pt>
                <c:pt idx="5">
                  <c:v>3.8951743881961078E-2</c:v>
                </c:pt>
                <c:pt idx="6">
                  <c:v>4.3108431744983071E-2</c:v>
                </c:pt>
                <c:pt idx="7">
                  <c:v>5.6101522283700828E-2</c:v>
                </c:pt>
                <c:pt idx="8">
                  <c:v>5.998293280480084E-2</c:v>
                </c:pt>
                <c:pt idx="9">
                  <c:v>6.3699176920747655E-2</c:v>
                </c:pt>
                <c:pt idx="10">
                  <c:v>6.9369890164340572E-2</c:v>
                </c:pt>
                <c:pt idx="11">
                  <c:v>8.2941063121094505E-2</c:v>
                </c:pt>
                <c:pt idx="12">
                  <c:v>8.8336499022765455E-2</c:v>
                </c:pt>
                <c:pt idx="13">
                  <c:v>9.2795991961901622E-2</c:v>
                </c:pt>
                <c:pt idx="14">
                  <c:v>9.6374597406887433E-2</c:v>
                </c:pt>
                <c:pt idx="15">
                  <c:v>0.1135243758086272</c:v>
                </c:pt>
                <c:pt idx="16">
                  <c:v>0.11801139648195556</c:v>
                </c:pt>
                <c:pt idx="17">
                  <c:v>0.12219561207916978</c:v>
                </c:pt>
                <c:pt idx="18">
                  <c:v>0.12786632532276271</c:v>
                </c:pt>
                <c:pt idx="19">
                  <c:v>0.14039144438021306</c:v>
                </c:pt>
                <c:pt idx="20">
                  <c:v>0.14650260137088117</c:v>
                </c:pt>
                <c:pt idx="21">
                  <c:v>0.15082445563905636</c:v>
                </c:pt>
                <c:pt idx="22">
                  <c:v>0.15456822748919538</c:v>
                </c:pt>
                <c:pt idx="23">
                  <c:v>0.16709334654664576</c:v>
                </c:pt>
                <c:pt idx="24">
                  <c:v>0.17158036721997413</c:v>
                </c:pt>
                <c:pt idx="25">
                  <c:v>0.17590222148814932</c:v>
                </c:pt>
                <c:pt idx="26">
                  <c:v>0.18140776832658906</c:v>
                </c:pt>
                <c:pt idx="27">
                  <c:v>0.19858507446252099</c:v>
                </c:pt>
                <c:pt idx="28">
                  <c:v>0.20351253888292459</c:v>
                </c:pt>
                <c:pt idx="29">
                  <c:v>0.20813719822721394</c:v>
                </c:pt>
                <c:pt idx="30">
                  <c:v>0.21229388609023594</c:v>
                </c:pt>
                <c:pt idx="31">
                  <c:v>0.22528697662895369</c:v>
                </c:pt>
                <c:pt idx="32">
                  <c:v>0.22974646956808983</c:v>
                </c:pt>
                <c:pt idx="33">
                  <c:v>0.23426101797561041</c:v>
                </c:pt>
                <c:pt idx="34">
                  <c:v>0.2395188152063204</c:v>
                </c:pt>
                <c:pt idx="35">
                  <c:v>0.25300740496049773</c:v>
                </c:pt>
                <c:pt idx="36">
                  <c:v>0.25812756352024663</c:v>
                </c:pt>
                <c:pt idx="37">
                  <c:v>0.26275222286453603</c:v>
                </c:pt>
                <c:pt idx="38">
                  <c:v>0.26627577284113746</c:v>
                </c:pt>
                <c:pt idx="39">
                  <c:v>0.28383846725576017</c:v>
                </c:pt>
                <c:pt idx="40">
                  <c:v>0.28821537699231981</c:v>
                </c:pt>
                <c:pt idx="41">
                  <c:v>0.29239959258953396</c:v>
                </c:pt>
                <c:pt idx="42">
                  <c:v>0.29762986208605174</c:v>
                </c:pt>
                <c:pt idx="43">
                  <c:v>0.31067800809315388</c:v>
                </c:pt>
                <c:pt idx="44">
                  <c:v>0.31615602719740138</c:v>
                </c:pt>
                <c:pt idx="45">
                  <c:v>0.32042282599719218</c:v>
                </c:pt>
                <c:pt idx="46">
                  <c:v>0.3246070415944064</c:v>
                </c:pt>
                <c:pt idx="47">
                  <c:v>0.33765518760150853</c:v>
                </c:pt>
                <c:pt idx="48">
                  <c:v>0.34117873757810996</c:v>
                </c:pt>
                <c:pt idx="49">
                  <c:v>0.34514273130178658</c:v>
                </c:pt>
                <c:pt idx="50">
                  <c:v>0.35092355548214832</c:v>
                </c:pt>
                <c:pt idx="51">
                  <c:v>0.36911938778319159</c:v>
                </c:pt>
                <c:pt idx="52">
                  <c:v>0.37393674126682636</c:v>
                </c:pt>
                <c:pt idx="53">
                  <c:v>0.3784237619401547</c:v>
                </c:pt>
                <c:pt idx="54">
                  <c:v>0.38249786660060009</c:v>
                </c:pt>
                <c:pt idx="55">
                  <c:v>0.39513309659481927</c:v>
                </c:pt>
                <c:pt idx="56">
                  <c:v>0.39898697938172711</c:v>
                </c:pt>
                <c:pt idx="57">
                  <c:v>0.40325377818151792</c:v>
                </c:pt>
                <c:pt idx="58">
                  <c:v>0.40892449142511084</c:v>
                </c:pt>
                <c:pt idx="59">
                  <c:v>0.42211027610317398</c:v>
                </c:pt>
                <c:pt idx="60">
                  <c:v>0.42789110028353566</c:v>
                </c:pt>
                <c:pt idx="61">
                  <c:v>0.43146970572852156</c:v>
                </c:pt>
                <c:pt idx="62">
                  <c:v>0.43543369945219812</c:v>
                </c:pt>
                <c:pt idx="63">
                  <c:v>0.4535469485506648</c:v>
                </c:pt>
                <c:pt idx="64">
                  <c:v>0.45718060946403505</c:v>
                </c:pt>
                <c:pt idx="65">
                  <c:v>0.46150246373221027</c:v>
                </c:pt>
                <c:pt idx="66">
                  <c:v>0.46681531643130458</c:v>
                </c:pt>
                <c:pt idx="67">
                  <c:v>0.48019379524871308</c:v>
                </c:pt>
                <c:pt idx="68">
                  <c:v>0.48517631513750104</c:v>
                </c:pt>
                <c:pt idx="69">
                  <c:v>0.48982850221598262</c:v>
                </c:pt>
                <c:pt idx="70">
                  <c:v>0.49346216312935282</c:v>
                </c:pt>
                <c:pt idx="71">
                  <c:v>0.5065928923390316</c:v>
                </c:pt>
                <c:pt idx="72">
                  <c:v>0.51066699699947693</c:v>
                </c:pt>
                <c:pt idx="73">
                  <c:v>0.51509896220442097</c:v>
                </c:pt>
                <c:pt idx="74">
                  <c:v>0.52030170396674646</c:v>
                </c:pt>
                <c:pt idx="75">
                  <c:v>0.53775428744460041</c:v>
                </c:pt>
                <c:pt idx="76">
                  <c:v>0.54287444600434942</c:v>
                </c:pt>
                <c:pt idx="77">
                  <c:v>0.54727888347510123</c:v>
                </c:pt>
                <c:pt idx="78">
                  <c:v>0.5510226553252402</c:v>
                </c:pt>
                <c:pt idx="79">
                  <c:v>0.56407080133234233</c:v>
                </c:pt>
                <c:pt idx="80">
                  <c:v>0.56814490599278777</c:v>
                </c:pt>
                <c:pt idx="81">
                  <c:v>0.57210889971646439</c:v>
                </c:pt>
                <c:pt idx="82">
                  <c:v>0.57788972389682614</c:v>
                </c:pt>
                <c:pt idx="83">
                  <c:v>0.59115809177746581</c:v>
                </c:pt>
                <c:pt idx="84">
                  <c:v>0.59603050072948505</c:v>
                </c:pt>
                <c:pt idx="85">
                  <c:v>0.60032482726346803</c:v>
                </c:pt>
                <c:pt idx="86">
                  <c:v>0.60428882098714465</c:v>
                </c:pt>
                <c:pt idx="87">
                  <c:v>0.62220937594626591</c:v>
                </c:pt>
                <c:pt idx="88">
                  <c:v>0.62592562006221275</c:v>
                </c:pt>
                <c:pt idx="89">
                  <c:v>0.63035758526715668</c:v>
                </c:pt>
                <c:pt idx="90">
                  <c:v>0.63545021609271346</c:v>
                </c:pt>
                <c:pt idx="91">
                  <c:v>0.6487736394417376</c:v>
                </c:pt>
                <c:pt idx="92">
                  <c:v>0.65416907534340851</c:v>
                </c:pt>
                <c:pt idx="93">
                  <c:v>0.65862856828254468</c:v>
                </c:pt>
                <c:pt idx="94">
                  <c:v>0.6625925620062213</c:v>
                </c:pt>
                <c:pt idx="95">
                  <c:v>0.67583340215266885</c:v>
                </c:pt>
                <c:pt idx="96">
                  <c:v>0.67968728493957664</c:v>
                </c:pt>
                <c:pt idx="97">
                  <c:v>0.68356869546067667</c:v>
                </c:pt>
                <c:pt idx="98">
                  <c:v>0.68915682550169299</c:v>
                </c:pt>
                <c:pt idx="99">
                  <c:v>0.70181958323010429</c:v>
                </c:pt>
                <c:pt idx="100">
                  <c:v>0.70771051834723475</c:v>
                </c:pt>
                <c:pt idx="101">
                  <c:v>0.71194978941283349</c:v>
                </c:pt>
                <c:pt idx="102">
                  <c:v>0.71583119993393352</c:v>
                </c:pt>
                <c:pt idx="103">
                  <c:v>0.73353153301951723</c:v>
                </c:pt>
                <c:pt idx="104">
                  <c:v>0.73746799900900151</c:v>
                </c:pt>
                <c:pt idx="105">
                  <c:v>0.74195501968232991</c:v>
                </c:pt>
                <c:pt idx="106">
                  <c:v>0.74693753957111786</c:v>
                </c:pt>
                <c:pt idx="107">
                  <c:v>0.76004074104660457</c:v>
                </c:pt>
                <c:pt idx="108">
                  <c:v>0.76543617694827548</c:v>
                </c:pt>
                <c:pt idx="109">
                  <c:v>0.7700333085583726</c:v>
                </c:pt>
                <c:pt idx="110">
                  <c:v>0.77361191400335838</c:v>
                </c:pt>
                <c:pt idx="111">
                  <c:v>0.78624714399757756</c:v>
                </c:pt>
                <c:pt idx="112">
                  <c:v>0.79078922013929032</c:v>
                </c:pt>
                <c:pt idx="113">
                  <c:v>0.79489085253392799</c:v>
                </c:pt>
                <c:pt idx="114">
                  <c:v>0.80012112203044583</c:v>
                </c:pt>
                <c:pt idx="115">
                  <c:v>0.81790403831860603</c:v>
                </c:pt>
                <c:pt idx="116">
                  <c:v>0.82283150273900962</c:v>
                </c:pt>
                <c:pt idx="117">
                  <c:v>0.82767638395683663</c:v>
                </c:pt>
                <c:pt idx="118">
                  <c:v>0.83161284994632101</c:v>
                </c:pt>
                <c:pt idx="119">
                  <c:v>0.8447160514218075</c:v>
                </c:pt>
                <c:pt idx="120">
                  <c:v>0.84804690725906351</c:v>
                </c:pt>
                <c:pt idx="121">
                  <c:v>0.85250640019819968</c:v>
                </c:pt>
                <c:pt idx="122">
                  <c:v>0.8578192528972941</c:v>
                </c:pt>
                <c:pt idx="123">
                  <c:v>0.87083987117020412</c:v>
                </c:pt>
                <c:pt idx="124">
                  <c:v>0.87607014066672173</c:v>
                </c:pt>
                <c:pt idx="125">
                  <c:v>0.88108018828970192</c:v>
                </c:pt>
                <c:pt idx="126">
                  <c:v>0.88471384920307206</c:v>
                </c:pt>
                <c:pt idx="127">
                  <c:v>0.90233159908607929</c:v>
                </c:pt>
                <c:pt idx="128">
                  <c:v>0.90607537093621826</c:v>
                </c:pt>
                <c:pt idx="129">
                  <c:v>0.91031464200181689</c:v>
                </c:pt>
                <c:pt idx="130">
                  <c:v>0.9159853552454098</c:v>
                </c:pt>
                <c:pt idx="131">
                  <c:v>0.92941888953120277</c:v>
                </c:pt>
                <c:pt idx="132">
                  <c:v>0.93398849340710777</c:v>
                </c:pt>
                <c:pt idx="133">
                  <c:v>0.93844798634624393</c:v>
                </c:pt>
                <c:pt idx="134">
                  <c:v>0.94257714647507373</c:v>
                </c:pt>
                <c:pt idx="135">
                  <c:v>0.95570787568475246</c:v>
                </c:pt>
                <c:pt idx="136">
                  <c:v>0.9596993971426212</c:v>
                </c:pt>
                <c:pt idx="137">
                  <c:v>0.96413136234756525</c:v>
                </c:pt>
                <c:pt idx="138">
                  <c:v>0.96927904864150638</c:v>
                </c:pt>
                <c:pt idx="139">
                  <c:v>0.98678668758774479</c:v>
                </c:pt>
                <c:pt idx="140">
                  <c:v>0.99168662427395604</c:v>
                </c:pt>
                <c:pt idx="141">
                  <c:v>0.99625622814986114</c:v>
                </c:pt>
                <c:pt idx="142">
                  <c:v>1</c:v>
                </c:pt>
              </c:numCache>
            </c:numRef>
          </c:cat>
          <c:val>
            <c:numRef>
              <c:f>'Cantus Firmus'!$D$2:$D$144</c:f>
              <c:numCache>
                <c:formatCode>General</c:formatCode>
                <c:ptCount val="143"/>
                <c:pt idx="0">
                  <c:v>2.0920000000000001E-3</c:v>
                </c:pt>
                <c:pt idx="1">
                  <c:v>3.6887163817546178E-3</c:v>
                </c:pt>
                <c:pt idx="2">
                  <c:v>5.395435901670932E-3</c:v>
                </c:pt>
                <c:pt idx="3">
                  <c:v>1.8360998706196494E-2</c:v>
                </c:pt>
                <c:pt idx="4">
                  <c:v>5.3679081674787334E-3</c:v>
                </c:pt>
                <c:pt idx="5">
                  <c:v>4.0465769262532023E-3</c:v>
                </c:pt>
                <c:pt idx="6">
                  <c:v>4.1566878630219933E-3</c:v>
                </c:pt>
                <c:pt idx="7">
                  <c:v>1.2993090538717757E-2</c:v>
                </c:pt>
                <c:pt idx="8">
                  <c:v>3.8814105211000122E-3</c:v>
                </c:pt>
                <c:pt idx="9">
                  <c:v>3.7162441159468151E-3</c:v>
                </c:pt>
                <c:pt idx="10">
                  <c:v>5.6707132435929175E-3</c:v>
                </c:pt>
                <c:pt idx="11">
                  <c:v>1.3571172956753932E-2</c:v>
                </c:pt>
                <c:pt idx="12">
                  <c:v>5.3954359016709502E-3</c:v>
                </c:pt>
                <c:pt idx="13">
                  <c:v>4.4594929391361671E-3</c:v>
                </c:pt>
                <c:pt idx="14">
                  <c:v>3.5786054449858107E-3</c:v>
                </c:pt>
                <c:pt idx="15">
                  <c:v>1.7149778401739771E-2</c:v>
                </c:pt>
                <c:pt idx="16">
                  <c:v>4.4870206733283596E-3</c:v>
                </c:pt>
                <c:pt idx="17">
                  <c:v>4.1842155972142137E-3</c:v>
                </c:pt>
                <c:pt idx="18">
                  <c:v>5.6707132435929314E-3</c:v>
                </c:pt>
                <c:pt idx="19">
                  <c:v>1.2525119057450351E-2</c:v>
                </c:pt>
                <c:pt idx="20">
                  <c:v>6.1111569906681096E-3</c:v>
                </c:pt>
                <c:pt idx="21">
                  <c:v>4.3218542681751904E-3</c:v>
                </c:pt>
                <c:pt idx="22">
                  <c:v>3.7437718501390216E-3</c:v>
                </c:pt>
                <c:pt idx="23">
                  <c:v>1.2525119057450379E-2</c:v>
                </c:pt>
                <c:pt idx="24">
                  <c:v>4.4870206733283735E-3</c:v>
                </c:pt>
                <c:pt idx="25">
                  <c:v>4.3218542681751904E-3</c:v>
                </c:pt>
                <c:pt idx="26">
                  <c:v>5.5055468384397344E-3</c:v>
                </c:pt>
                <c:pt idx="27">
                  <c:v>1.7177306135931936E-2</c:v>
                </c:pt>
                <c:pt idx="28">
                  <c:v>4.9274644204035933E-3</c:v>
                </c:pt>
                <c:pt idx="29">
                  <c:v>4.6246593442893502E-3</c:v>
                </c:pt>
                <c:pt idx="30">
                  <c:v>4.1566878630220072E-3</c:v>
                </c:pt>
                <c:pt idx="31">
                  <c:v>1.299309053871775E-2</c:v>
                </c:pt>
                <c:pt idx="32">
                  <c:v>4.4594929391361393E-3</c:v>
                </c:pt>
                <c:pt idx="33">
                  <c:v>4.51454840752058E-3</c:v>
                </c:pt>
                <c:pt idx="34">
                  <c:v>5.2577972307099874E-3</c:v>
                </c:pt>
                <c:pt idx="35">
                  <c:v>1.3488589754177327E-2</c:v>
                </c:pt>
                <c:pt idx="36">
                  <c:v>5.1201585597488997E-3</c:v>
                </c:pt>
                <c:pt idx="37">
                  <c:v>4.6246593442894057E-3</c:v>
                </c:pt>
                <c:pt idx="38">
                  <c:v>3.5235499766014255E-3</c:v>
                </c:pt>
                <c:pt idx="39">
                  <c:v>1.7562694414622715E-2</c:v>
                </c:pt>
                <c:pt idx="40">
                  <c:v>4.376909736559631E-3</c:v>
                </c:pt>
                <c:pt idx="41">
                  <c:v>4.1842155972141581E-3</c:v>
                </c:pt>
                <c:pt idx="42">
                  <c:v>5.2302694965177809E-3</c:v>
                </c:pt>
                <c:pt idx="43">
                  <c:v>1.3048146007102135E-2</c:v>
                </c:pt>
                <c:pt idx="44">
                  <c:v>5.4780191042475002E-3</c:v>
                </c:pt>
                <c:pt idx="45">
                  <c:v>4.2667987997908052E-3</c:v>
                </c:pt>
                <c:pt idx="46">
                  <c:v>4.1842155972142137E-3</c:v>
                </c:pt>
                <c:pt idx="47">
                  <c:v>1.3048146007102135E-2</c:v>
                </c:pt>
                <c:pt idx="48">
                  <c:v>3.5235499766014255E-3</c:v>
                </c:pt>
                <c:pt idx="49">
                  <c:v>3.9639937236766176E-3</c:v>
                </c:pt>
                <c:pt idx="50">
                  <c:v>5.7808241803617433E-3</c:v>
                </c:pt>
                <c:pt idx="51">
                  <c:v>1.8195832301043269E-2</c:v>
                </c:pt>
                <c:pt idx="52">
                  <c:v>4.8173534836347676E-3</c:v>
                </c:pt>
                <c:pt idx="53">
                  <c:v>4.4870206733283458E-3</c:v>
                </c:pt>
                <c:pt idx="54">
                  <c:v>4.0741046604453879E-3</c:v>
                </c:pt>
                <c:pt idx="55">
                  <c:v>1.2635229994219177E-2</c:v>
                </c:pt>
                <c:pt idx="56">
                  <c:v>3.8538827869078474E-3</c:v>
                </c:pt>
                <c:pt idx="57">
                  <c:v>4.2667987997908052E-3</c:v>
                </c:pt>
                <c:pt idx="58">
                  <c:v>5.6707132435929175E-3</c:v>
                </c:pt>
                <c:pt idx="59">
                  <c:v>1.3185784678063139E-2</c:v>
                </c:pt>
                <c:pt idx="60">
                  <c:v>5.7808241803616878E-3</c:v>
                </c:pt>
                <c:pt idx="61">
                  <c:v>3.5786054449858939E-3</c:v>
                </c:pt>
                <c:pt idx="62">
                  <c:v>3.9639937236765621E-3</c:v>
                </c:pt>
                <c:pt idx="63">
                  <c:v>1.8113249098466677E-2</c:v>
                </c:pt>
                <c:pt idx="64">
                  <c:v>3.6336609133702513E-3</c:v>
                </c:pt>
                <c:pt idx="65">
                  <c:v>4.3218542681752181E-3</c:v>
                </c:pt>
                <c:pt idx="66">
                  <c:v>5.312852699094317E-3</c:v>
                </c:pt>
                <c:pt idx="67">
                  <c:v>1.3378478817408501E-2</c:v>
                </c:pt>
                <c:pt idx="68">
                  <c:v>4.9825198887879507E-3</c:v>
                </c:pt>
                <c:pt idx="69">
                  <c:v>4.6521870784815844E-3</c:v>
                </c:pt>
                <c:pt idx="70">
                  <c:v>3.6336609133701958E-3</c:v>
                </c:pt>
                <c:pt idx="71">
                  <c:v>1.3130729209678782E-2</c:v>
                </c:pt>
                <c:pt idx="72">
                  <c:v>4.0741046604453324E-3</c:v>
                </c:pt>
                <c:pt idx="73">
                  <c:v>4.4319652049440439E-3</c:v>
                </c:pt>
                <c:pt idx="74">
                  <c:v>5.2027417623254912E-3</c:v>
                </c:pt>
                <c:pt idx="75">
                  <c:v>1.7452583477853945E-2</c:v>
                </c:pt>
                <c:pt idx="76">
                  <c:v>5.1201585597490107E-3</c:v>
                </c:pt>
                <c:pt idx="77">
                  <c:v>4.4044374707518097E-3</c:v>
                </c:pt>
                <c:pt idx="78">
                  <c:v>3.7437718501389661E-3</c:v>
                </c:pt>
                <c:pt idx="79">
                  <c:v>1.3048146007102135E-2</c:v>
                </c:pt>
                <c:pt idx="80">
                  <c:v>4.0741046604454434E-3</c:v>
                </c:pt>
                <c:pt idx="81">
                  <c:v>3.9639937236766176E-3</c:v>
                </c:pt>
                <c:pt idx="82">
                  <c:v>5.7808241803617433E-3</c:v>
                </c:pt>
                <c:pt idx="83">
                  <c:v>1.3268367880639675E-2</c:v>
                </c:pt>
                <c:pt idx="84">
                  <c:v>4.872408952019236E-3</c:v>
                </c:pt>
                <c:pt idx="85">
                  <c:v>4.2943265339829839E-3</c:v>
                </c:pt>
                <c:pt idx="86">
                  <c:v>3.9639937236766176E-3</c:v>
                </c:pt>
                <c:pt idx="87">
                  <c:v>1.792055495912126E-2</c:v>
                </c:pt>
                <c:pt idx="88">
                  <c:v>3.7162441159468429E-3</c:v>
                </c:pt>
                <c:pt idx="89">
                  <c:v>4.4319652049439329E-3</c:v>
                </c:pt>
                <c:pt idx="90">
                  <c:v>5.0926308255567765E-3</c:v>
                </c:pt>
                <c:pt idx="91">
                  <c:v>1.3323423349024144E-2</c:v>
                </c:pt>
                <c:pt idx="92">
                  <c:v>5.3954359016709086E-3</c:v>
                </c:pt>
                <c:pt idx="93">
                  <c:v>4.4594929391361671E-3</c:v>
                </c:pt>
                <c:pt idx="94">
                  <c:v>3.9639937236766176E-3</c:v>
                </c:pt>
                <c:pt idx="95">
                  <c:v>1.3240840146447552E-2</c:v>
                </c:pt>
                <c:pt idx="96">
                  <c:v>3.8538827869077918E-3</c:v>
                </c:pt>
                <c:pt idx="97">
                  <c:v>3.881410521100026E-3</c:v>
                </c:pt>
                <c:pt idx="98">
                  <c:v>5.5881300410163259E-3</c:v>
                </c:pt>
                <c:pt idx="99">
                  <c:v>1.26627577284113E-2</c:v>
                </c:pt>
                <c:pt idx="100">
                  <c:v>5.890935117130458E-3</c:v>
                </c:pt>
                <c:pt idx="101">
                  <c:v>4.2392710655987376E-3</c:v>
                </c:pt>
                <c:pt idx="102">
                  <c:v>3.881410521100026E-3</c:v>
                </c:pt>
                <c:pt idx="103">
                  <c:v>1.7700333085583719E-2</c:v>
                </c:pt>
                <c:pt idx="104">
                  <c:v>3.9364659894842724E-3</c:v>
                </c:pt>
                <c:pt idx="105">
                  <c:v>4.4870206733284013E-3</c:v>
                </c:pt>
                <c:pt idx="106">
                  <c:v>4.9825198887879507E-3</c:v>
                </c:pt>
                <c:pt idx="107">
                  <c:v>1.3103201475486714E-2</c:v>
                </c:pt>
                <c:pt idx="108">
                  <c:v>5.3954359016709086E-3</c:v>
                </c:pt>
                <c:pt idx="109">
                  <c:v>4.597131610097116E-3</c:v>
                </c:pt>
                <c:pt idx="110">
                  <c:v>3.5786054449857829E-3</c:v>
                </c:pt>
                <c:pt idx="111">
                  <c:v>1.2635229994219177E-2</c:v>
                </c:pt>
                <c:pt idx="112">
                  <c:v>4.5420761417127586E-3</c:v>
                </c:pt>
                <c:pt idx="113">
                  <c:v>4.1016323946376776E-3</c:v>
                </c:pt>
                <c:pt idx="114">
                  <c:v>5.2302694965178365E-3</c:v>
                </c:pt>
                <c:pt idx="115">
                  <c:v>1.77829162881602E-2</c:v>
                </c:pt>
                <c:pt idx="116">
                  <c:v>4.9274644204035933E-3</c:v>
                </c:pt>
                <c:pt idx="117">
                  <c:v>4.8448812178270018E-3</c:v>
                </c:pt>
                <c:pt idx="118">
                  <c:v>3.9364659894843834E-3</c:v>
                </c:pt>
                <c:pt idx="119">
                  <c:v>1.3103201475486492E-2</c:v>
                </c:pt>
                <c:pt idx="120">
                  <c:v>3.3308558372560082E-3</c:v>
                </c:pt>
                <c:pt idx="121">
                  <c:v>4.4594929391361671E-3</c:v>
                </c:pt>
                <c:pt idx="122">
                  <c:v>5.312852699094428E-3</c:v>
                </c:pt>
                <c:pt idx="123">
                  <c:v>1.3020618272910012E-2</c:v>
                </c:pt>
                <c:pt idx="124">
                  <c:v>5.2302694965176144E-3</c:v>
                </c:pt>
                <c:pt idx="125">
                  <c:v>5.0100476229801849E-3</c:v>
                </c:pt>
                <c:pt idx="126">
                  <c:v>3.6336609133701403E-3</c:v>
                </c:pt>
                <c:pt idx="127">
                  <c:v>1.7617749883007239E-2</c:v>
                </c:pt>
                <c:pt idx="128">
                  <c:v>3.7437718501389661E-3</c:v>
                </c:pt>
                <c:pt idx="129">
                  <c:v>4.2392710655986265E-3</c:v>
                </c:pt>
                <c:pt idx="130">
                  <c:v>5.6707132435929175E-3</c:v>
                </c:pt>
                <c:pt idx="131">
                  <c:v>1.343353428579297E-2</c:v>
                </c:pt>
                <c:pt idx="132">
                  <c:v>4.5696038759049928E-3</c:v>
                </c:pt>
                <c:pt idx="133">
                  <c:v>4.4594929391361671E-3</c:v>
                </c:pt>
                <c:pt idx="134">
                  <c:v>4.1291601288298008E-3</c:v>
                </c:pt>
                <c:pt idx="135">
                  <c:v>1.3130729209678726E-2</c:v>
                </c:pt>
                <c:pt idx="136">
                  <c:v>3.9915214578687408E-3</c:v>
                </c:pt>
                <c:pt idx="137">
                  <c:v>4.4319652049440439E-3</c:v>
                </c:pt>
                <c:pt idx="138">
                  <c:v>5.1476862939411339E-3</c:v>
                </c:pt>
                <c:pt idx="139">
                  <c:v>1.7507638946238413E-2</c:v>
                </c:pt>
                <c:pt idx="140">
                  <c:v>4.8999366862112481E-3</c:v>
                </c:pt>
                <c:pt idx="141">
                  <c:v>4.5696038759051039E-3</c:v>
                </c:pt>
                <c:pt idx="142">
                  <c:v>3.7437718501388551E-3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2-244F-AFC9-00992C8134E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238784"/>
        <c:axId val="1107749424"/>
      </c:lineChart>
      <c:catAx>
        <c:axId val="104823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749424"/>
        <c:crosses val="autoZero"/>
        <c:auto val="1"/>
        <c:lblAlgn val="ctr"/>
        <c:lblOffset val="100"/>
        <c:noMultiLvlLbl val="0"/>
      </c:catAx>
      <c:valAx>
        <c:axId val="11077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23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Current!$A$20:$A$27</c:f>
              <c:numCache>
                <c:formatCode>General</c:formatCode>
                <c:ptCount val="8"/>
                <c:pt idx="0">
                  <c:v>0</c:v>
                </c:pt>
                <c:pt idx="1">
                  <c:v>0.14285714285714285</c:v>
                </c:pt>
                <c:pt idx="2">
                  <c:v>0.2857142857142857</c:v>
                </c:pt>
                <c:pt idx="3">
                  <c:v>0.42857142857142855</c:v>
                </c:pt>
                <c:pt idx="4">
                  <c:v>0.5714285714285714</c:v>
                </c:pt>
                <c:pt idx="5">
                  <c:v>0.7142857142857143</c:v>
                </c:pt>
                <c:pt idx="6">
                  <c:v>0.8571428571428571</c:v>
                </c:pt>
                <c:pt idx="7">
                  <c:v>1</c:v>
                </c:pt>
              </c:numCache>
            </c:numRef>
          </c:xVal>
          <c:yVal>
            <c:numRef>
              <c:f>Current!$B$20:$B$27</c:f>
              <c:numCache>
                <c:formatCode>General</c:formatCode>
                <c:ptCount val="8"/>
                <c:pt idx="0">
                  <c:v>4.5236037859448047E-2</c:v>
                </c:pt>
                <c:pt idx="1">
                  <c:v>0.3136154952557374</c:v>
                </c:pt>
                <c:pt idx="2">
                  <c:v>0.44506424345585976</c:v>
                </c:pt>
                <c:pt idx="3">
                  <c:v>0.50998012690542516</c:v>
                </c:pt>
                <c:pt idx="4">
                  <c:v>0.56832948873023192</c:v>
                </c:pt>
                <c:pt idx="5">
                  <c:v>0.62342516866889697</c:v>
                </c:pt>
                <c:pt idx="6">
                  <c:v>0.70196707747194054</c:v>
                </c:pt>
                <c:pt idx="7">
                  <c:v>0.92339491928699802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A-7A46-9A35-97262DCD3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319215"/>
        <c:axId val="1557720575"/>
      </c:scatterChart>
      <c:valAx>
        <c:axId val="155731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20575"/>
        <c:crosses val="autoZero"/>
        <c:crossBetween val="midCat"/>
      </c:valAx>
      <c:valAx>
        <c:axId val="155772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31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Current!$A$21:$A$27</c:f>
              <c:numCache>
                <c:formatCode>General</c:formatCode>
                <c:ptCount val="7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</c:numCache>
            </c:numRef>
          </c:xVal>
          <c:yVal>
            <c:numRef>
              <c:f>Current!$G$21:$G$27</c:f>
              <c:numCache>
                <c:formatCode>General</c:formatCode>
                <c:ptCount val="7"/>
                <c:pt idx="0">
                  <c:v>0.12722882139021741</c:v>
                </c:pt>
                <c:pt idx="1">
                  <c:v>0.10779875339944023</c:v>
                </c:pt>
                <c:pt idx="2">
                  <c:v>0.11203182639878417</c:v>
                </c:pt>
                <c:pt idx="3">
                  <c:v>0.11203182639878417</c:v>
                </c:pt>
                <c:pt idx="4">
                  <c:v>0.11413521670901716</c:v>
                </c:pt>
                <c:pt idx="5">
                  <c:v>0.11321498344829017</c:v>
                </c:pt>
                <c:pt idx="6">
                  <c:v>0.10325017185356133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0-CB45-B86B-0C51A7353044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Current!$A$21:$A$27</c:f>
              <c:numCache>
                <c:formatCode>General</c:formatCode>
                <c:ptCount val="7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</c:numCache>
            </c:numRef>
          </c:xVal>
          <c:yVal>
            <c:numRef>
              <c:f>Current!$H$21:$H$27</c:f>
              <c:numCache>
                <c:formatCode>General</c:formatCode>
                <c:ptCount val="7"/>
                <c:pt idx="0">
                  <c:v>0.12733399090572906</c:v>
                </c:pt>
                <c:pt idx="1">
                  <c:v>0.10900820282782431</c:v>
                </c:pt>
                <c:pt idx="2">
                  <c:v>0.1147399414232092</c:v>
                </c:pt>
                <c:pt idx="3">
                  <c:v>0.11445072525555211</c:v>
                </c:pt>
                <c:pt idx="4">
                  <c:v>0.11473994142320909</c:v>
                </c:pt>
                <c:pt idx="5">
                  <c:v>0.114450725255552</c:v>
                </c:pt>
                <c:pt idx="6">
                  <c:v>0.1050906383750152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30-CB45-B86B-0C51A7353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369231"/>
        <c:axId val="1826154112"/>
      </c:scatterChart>
      <c:valAx>
        <c:axId val="155036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154112"/>
        <c:crosses val="autoZero"/>
        <c:crossBetween val="midCat"/>
      </c:valAx>
      <c:valAx>
        <c:axId val="18261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369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Current!$A$21:$A$27</c:f>
              <c:numCache>
                <c:formatCode>General</c:formatCode>
                <c:ptCount val="7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</c:numCache>
            </c:numRef>
          </c:xVal>
          <c:yVal>
            <c:numRef>
              <c:f>Current!$I$21:$I$27</c:f>
              <c:numCache>
                <c:formatCode>General</c:formatCode>
                <c:ptCount val="7"/>
                <c:pt idx="0">
                  <c:v>1.0516951551164944E-4</c:v>
                </c:pt>
                <c:pt idx="1">
                  <c:v>1.2094494283840795E-3</c:v>
                </c:pt>
                <c:pt idx="2">
                  <c:v>2.7081150244250285E-3</c:v>
                </c:pt>
                <c:pt idx="3">
                  <c:v>2.418898856767937E-3</c:v>
                </c:pt>
                <c:pt idx="4">
                  <c:v>6.0472471419192875E-4</c:v>
                </c:pt>
                <c:pt idx="5">
                  <c:v>1.2357418072618254E-3</c:v>
                </c:pt>
                <c:pt idx="6">
                  <c:v>1.8404665214538651E-3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9-D04A-8A7A-4D820D7D6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759648"/>
        <c:axId val="353413408"/>
      </c:scatterChart>
      <c:valAx>
        <c:axId val="165075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13408"/>
        <c:crosses val="autoZero"/>
        <c:crossBetween val="midCat"/>
      </c:valAx>
      <c:valAx>
        <c:axId val="3534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5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'Straight curve'!$D$1</c:f>
              <c:strCache>
                <c:ptCount val="1"/>
                <c:pt idx="0">
                  <c:v>X Position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3.2351487314085742E-2"/>
                  <c:y val="-5.0685695538057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'Straight curve'!$C$2:$C$29</c:f>
              <c:numCache>
                <c:formatCode>General</c:formatCode>
                <c:ptCount val="28"/>
                <c:pt idx="0">
                  <c:v>0</c:v>
                </c:pt>
                <c:pt idx="1">
                  <c:v>3.7037037037037035E-2</c:v>
                </c:pt>
                <c:pt idx="2">
                  <c:v>7.407407407407407E-2</c:v>
                </c:pt>
                <c:pt idx="3">
                  <c:v>0.1111111111111111</c:v>
                </c:pt>
                <c:pt idx="4">
                  <c:v>0.14814814814814814</c:v>
                </c:pt>
                <c:pt idx="5">
                  <c:v>0.18518518518518517</c:v>
                </c:pt>
                <c:pt idx="6">
                  <c:v>0.22222222222222221</c:v>
                </c:pt>
                <c:pt idx="7">
                  <c:v>0.25925925925925924</c:v>
                </c:pt>
                <c:pt idx="8">
                  <c:v>0.29629629629629628</c:v>
                </c:pt>
                <c:pt idx="9">
                  <c:v>0.33333333333333331</c:v>
                </c:pt>
                <c:pt idx="10">
                  <c:v>0.37037037037037035</c:v>
                </c:pt>
                <c:pt idx="11">
                  <c:v>0.40740740740740738</c:v>
                </c:pt>
                <c:pt idx="12">
                  <c:v>0.44444444444444442</c:v>
                </c:pt>
                <c:pt idx="13">
                  <c:v>0.48148148148148145</c:v>
                </c:pt>
                <c:pt idx="14">
                  <c:v>0.51851851851851849</c:v>
                </c:pt>
                <c:pt idx="15">
                  <c:v>0.55555555555555558</c:v>
                </c:pt>
                <c:pt idx="16">
                  <c:v>0.59259259259259256</c:v>
                </c:pt>
                <c:pt idx="17">
                  <c:v>0.62962962962962965</c:v>
                </c:pt>
                <c:pt idx="18">
                  <c:v>0.66666666666666663</c:v>
                </c:pt>
                <c:pt idx="19">
                  <c:v>0.70370370370370372</c:v>
                </c:pt>
                <c:pt idx="20">
                  <c:v>0.7407407407407407</c:v>
                </c:pt>
                <c:pt idx="21">
                  <c:v>0.77777777777777779</c:v>
                </c:pt>
                <c:pt idx="22">
                  <c:v>0.81481481481481477</c:v>
                </c:pt>
                <c:pt idx="23">
                  <c:v>0.85185185185185186</c:v>
                </c:pt>
                <c:pt idx="24">
                  <c:v>0.88888888888888884</c:v>
                </c:pt>
                <c:pt idx="25">
                  <c:v>0.92592592592592593</c:v>
                </c:pt>
                <c:pt idx="26">
                  <c:v>0.96296296296296291</c:v>
                </c:pt>
                <c:pt idx="27">
                  <c:v>1</c:v>
                </c:pt>
              </c:numCache>
            </c:numRef>
          </c:xVal>
          <c:yVal>
            <c:numRef>
              <c:f>'Straight curve'!$D$2:$D$29</c:f>
              <c:numCache>
                <c:formatCode>General</c:formatCode>
                <c:ptCount val="28"/>
                <c:pt idx="0">
                  <c:v>0</c:v>
                </c:pt>
                <c:pt idx="1">
                  <c:v>2.1788493790868148E-2</c:v>
                </c:pt>
                <c:pt idx="2">
                  <c:v>4.5611294127321032E-2</c:v>
                </c:pt>
                <c:pt idx="3">
                  <c:v>7.1736072923251404E-2</c:v>
                </c:pt>
                <c:pt idx="4">
                  <c:v>0.10107291468589449</c:v>
                </c:pt>
                <c:pt idx="5">
                  <c:v>0.13212285669745108</c:v>
                </c:pt>
                <c:pt idx="6">
                  <c:v>0.16467176142680695</c:v>
                </c:pt>
                <c:pt idx="7">
                  <c:v>0.20011152282620429</c:v>
                </c:pt>
                <c:pt idx="8">
                  <c:v>0.23876334719231435</c:v>
                </c:pt>
                <c:pt idx="9">
                  <c:v>0.28116257835292263</c:v>
                </c:pt>
                <c:pt idx="10">
                  <c:v>0.32468603155188036</c:v>
                </c:pt>
                <c:pt idx="11">
                  <c:v>0.37174275401422213</c:v>
                </c:pt>
                <c:pt idx="12">
                  <c:v>0.42142266123271266</c:v>
                </c:pt>
                <c:pt idx="13">
                  <c:v>0.47313687499678792</c:v>
                </c:pt>
                <c:pt idx="14">
                  <c:v>0.52774194543090469</c:v>
                </c:pt>
                <c:pt idx="15">
                  <c:v>0.57736831826661661</c:v>
                </c:pt>
                <c:pt idx="16">
                  <c:v>0.62704822548510719</c:v>
                </c:pt>
                <c:pt idx="17">
                  <c:v>0.67351606973688494</c:v>
                </c:pt>
                <c:pt idx="18">
                  <c:v>0.71479107885914384</c:v>
                </c:pt>
                <c:pt idx="19">
                  <c:v>0.75719031001975201</c:v>
                </c:pt>
                <c:pt idx="20">
                  <c:v>0.7957886000030836</c:v>
                </c:pt>
                <c:pt idx="21">
                  <c:v>0.83154956769915223</c:v>
                </c:pt>
                <c:pt idx="22">
                  <c:v>0.86490148817018631</c:v>
                </c:pt>
                <c:pt idx="23">
                  <c:v>0.89455953622950057</c:v>
                </c:pt>
                <c:pt idx="24">
                  <c:v>0.92298629348490846</c:v>
                </c:pt>
                <c:pt idx="25">
                  <c:v>0.94771917832859665</c:v>
                </c:pt>
                <c:pt idx="26">
                  <c:v>0.97148844428227099</c:v>
                </c:pt>
                <c:pt idx="27">
                  <c:v>0.99215271603478972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BA-47A6-A172-C6CE1D0B5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117960"/>
        <c:axId val="2061120008"/>
      </c:scatterChart>
      <c:valAx>
        <c:axId val="2061117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20008"/>
        <c:crosses val="autoZero"/>
        <c:crossBetween val="midCat"/>
      </c:valAx>
      <c:valAx>
        <c:axId val="206112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17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'Straight curve'!$J$1</c:f>
              <c:strCache>
                <c:ptCount val="1"/>
                <c:pt idx="0">
                  <c:v>Cell Height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'Straight curve'!$H$3:$H$43</c:f>
              <c:numCache>
                <c:formatCode>General</c:formatCode>
                <c:ptCount val="41"/>
                <c:pt idx="0">
                  <c:v>2.4390243902439025E-2</c:v>
                </c:pt>
                <c:pt idx="1">
                  <c:v>4.878048780487805E-2</c:v>
                </c:pt>
                <c:pt idx="2">
                  <c:v>7.3170731707317069E-2</c:v>
                </c:pt>
                <c:pt idx="3">
                  <c:v>9.7560975609756101E-2</c:v>
                </c:pt>
                <c:pt idx="4">
                  <c:v>0.12195121951219512</c:v>
                </c:pt>
                <c:pt idx="5">
                  <c:v>0.14634146341463414</c:v>
                </c:pt>
                <c:pt idx="6">
                  <c:v>0.17073170731707318</c:v>
                </c:pt>
                <c:pt idx="7">
                  <c:v>0.1951219512195122</c:v>
                </c:pt>
                <c:pt idx="8">
                  <c:v>0.21951219512195122</c:v>
                </c:pt>
                <c:pt idx="9">
                  <c:v>0.24390243902439024</c:v>
                </c:pt>
                <c:pt idx="10">
                  <c:v>0.26829268292682928</c:v>
                </c:pt>
                <c:pt idx="11">
                  <c:v>0.29268292682926828</c:v>
                </c:pt>
                <c:pt idx="12">
                  <c:v>0.31707317073170732</c:v>
                </c:pt>
                <c:pt idx="13">
                  <c:v>0.34146341463414637</c:v>
                </c:pt>
                <c:pt idx="14">
                  <c:v>0.36585365853658536</c:v>
                </c:pt>
                <c:pt idx="15">
                  <c:v>0.3902439024390244</c:v>
                </c:pt>
                <c:pt idx="16">
                  <c:v>0.41463414634146339</c:v>
                </c:pt>
                <c:pt idx="17">
                  <c:v>0.43902439024390244</c:v>
                </c:pt>
                <c:pt idx="18">
                  <c:v>0.46341463414634149</c:v>
                </c:pt>
                <c:pt idx="19">
                  <c:v>0.48780487804878048</c:v>
                </c:pt>
                <c:pt idx="20">
                  <c:v>0.51219512195121952</c:v>
                </c:pt>
                <c:pt idx="21">
                  <c:v>0.53658536585365857</c:v>
                </c:pt>
                <c:pt idx="22">
                  <c:v>0.56097560975609762</c:v>
                </c:pt>
                <c:pt idx="23">
                  <c:v>0.58536585365853655</c:v>
                </c:pt>
                <c:pt idx="24">
                  <c:v>0.6097560975609756</c:v>
                </c:pt>
                <c:pt idx="25">
                  <c:v>0.63414634146341464</c:v>
                </c:pt>
                <c:pt idx="26">
                  <c:v>0.65853658536585369</c:v>
                </c:pt>
                <c:pt idx="27">
                  <c:v>0.68292682926829273</c:v>
                </c:pt>
                <c:pt idx="28">
                  <c:v>0.70731707317073167</c:v>
                </c:pt>
                <c:pt idx="29">
                  <c:v>0.73170731707317072</c:v>
                </c:pt>
                <c:pt idx="30">
                  <c:v>0.75609756097560976</c:v>
                </c:pt>
                <c:pt idx="31">
                  <c:v>0.78048780487804881</c:v>
                </c:pt>
                <c:pt idx="32">
                  <c:v>0.80487804878048785</c:v>
                </c:pt>
                <c:pt idx="33">
                  <c:v>0.82926829268292679</c:v>
                </c:pt>
                <c:pt idx="34">
                  <c:v>0.85365853658536583</c:v>
                </c:pt>
                <c:pt idx="35">
                  <c:v>0.87804878048780488</c:v>
                </c:pt>
                <c:pt idx="36">
                  <c:v>0.90243902439024393</c:v>
                </c:pt>
                <c:pt idx="37">
                  <c:v>0.92682926829268297</c:v>
                </c:pt>
                <c:pt idx="38">
                  <c:v>0.95121951219512191</c:v>
                </c:pt>
                <c:pt idx="39">
                  <c:v>0.97560975609756095</c:v>
                </c:pt>
                <c:pt idx="40">
                  <c:v>1</c:v>
                </c:pt>
              </c:numCache>
            </c:numRef>
          </c:xVal>
          <c:yVal>
            <c:numRef>
              <c:f>'Straight curve'!$J$3:$J$43</c:f>
              <c:numCache>
                <c:formatCode>General</c:formatCode>
                <c:ptCount val="41"/>
                <c:pt idx="0">
                  <c:v>3.2692912870977746E-2</c:v>
                </c:pt>
                <c:pt idx="1">
                  <c:v>3.1937007371070754E-2</c:v>
                </c:pt>
                <c:pt idx="2">
                  <c:v>3.1228345964907936E-2</c:v>
                </c:pt>
                <c:pt idx="3">
                  <c:v>2.929133812139624E-2</c:v>
                </c:pt>
                <c:pt idx="4">
                  <c:v>2.6362204309256621E-2</c:v>
                </c:pt>
                <c:pt idx="5">
                  <c:v>2.5417322434372891E-2</c:v>
                </c:pt>
                <c:pt idx="6">
                  <c:v>2.1826771309814613E-2</c:v>
                </c:pt>
                <c:pt idx="7">
                  <c:v>1.8897637497675007E-2</c:v>
                </c:pt>
                <c:pt idx="8">
                  <c:v>1.8283464279000544E-2</c:v>
                </c:pt>
                <c:pt idx="9">
                  <c:v>1.9795275278814584E-2</c:v>
                </c:pt>
                <c:pt idx="10">
                  <c:v>2.2062991778535546E-2</c:v>
                </c:pt>
                <c:pt idx="11">
                  <c:v>2.5039369684419333E-2</c:v>
                </c:pt>
                <c:pt idx="12">
                  <c:v>2.6314960215512495E-2</c:v>
                </c:pt>
                <c:pt idx="13">
                  <c:v>2.8771653090210181E-2</c:v>
                </c:pt>
                <c:pt idx="14">
                  <c:v>3.1417322339884646E-2</c:v>
                </c:pt>
                <c:pt idx="15">
                  <c:v>3.3637794745861538E-2</c:v>
                </c:pt>
                <c:pt idx="16">
                  <c:v>3.5480314401884816E-2</c:v>
                </c:pt>
                <c:pt idx="17">
                  <c:v>3.3637794745861482E-2</c:v>
                </c:pt>
                <c:pt idx="18">
                  <c:v>3.2125983746047526E-2</c:v>
                </c:pt>
                <c:pt idx="19">
                  <c:v>2.8771653090210125E-2</c:v>
                </c:pt>
                <c:pt idx="20">
                  <c:v>2.6881889340442666E-2</c:v>
                </c:pt>
                <c:pt idx="21">
                  <c:v>2.4661416934465885E-2</c:v>
                </c:pt>
                <c:pt idx="22">
                  <c:v>2.2629920903465828E-2</c:v>
                </c:pt>
                <c:pt idx="23">
                  <c:v>2.0881889434930856E-2</c:v>
                </c:pt>
                <c:pt idx="24">
                  <c:v>1.8141731997768029E-2</c:v>
                </c:pt>
                <c:pt idx="25">
                  <c:v>1.7007873747907576E-2</c:v>
                </c:pt>
                <c:pt idx="26">
                  <c:v>1.2897637592163114E-2</c:v>
                </c:pt>
                <c:pt idx="27">
                  <c:v>1.0818897467418931E-2</c:v>
                </c:pt>
                <c:pt idx="28">
                  <c:v>9.3543305613491556E-3</c:v>
                </c:pt>
                <c:pt idx="29">
                  <c:v>1.1952755717279384E-2</c:v>
                </c:pt>
                <c:pt idx="30">
                  <c:v>1.2708661217186501E-2</c:v>
                </c:pt>
                <c:pt idx="31">
                  <c:v>1.625196824800057E-2</c:v>
                </c:pt>
                <c:pt idx="32">
                  <c:v>1.8661417028953964E-2</c:v>
                </c:pt>
                <c:pt idx="33">
                  <c:v>1.9984251653791252E-2</c:v>
                </c:pt>
                <c:pt idx="34">
                  <c:v>2.2440944528489104E-2</c:v>
                </c:pt>
                <c:pt idx="35">
                  <c:v>2.5606298809349615E-2</c:v>
                </c:pt>
                <c:pt idx="36">
                  <c:v>2.7448818465372948E-2</c:v>
                </c:pt>
                <c:pt idx="37">
                  <c:v>2.8771653090210236E-2</c:v>
                </c:pt>
                <c:pt idx="38">
                  <c:v>3.2881889245954365E-2</c:v>
                </c:pt>
                <c:pt idx="39">
                  <c:v>3.344881837088487E-2</c:v>
                </c:pt>
                <c:pt idx="40">
                  <c:v>3.30708656209312E-2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04-4655-B688-7F0E645C2F52}"/>
            </c:ext>
          </c:extLst>
        </c:ser>
        <c:ser>
          <c:idx val="1"/>
          <c:order val="1"/>
          <c:tx>
            <c:v>Piecewise Linear fit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'Straight curve'!$P$2:$P$6</c:f>
              <c:numCache>
                <c:formatCode>General</c:formatCode>
                <c:ptCount val="5"/>
                <c:pt idx="0">
                  <c:v>2.4E-2</c:v>
                </c:pt>
                <c:pt idx="1">
                  <c:v>0.22</c:v>
                </c:pt>
                <c:pt idx="2">
                  <c:v>0.41499999999999998</c:v>
                </c:pt>
                <c:pt idx="3">
                  <c:v>0.70699999999999996</c:v>
                </c:pt>
                <c:pt idx="4">
                  <c:v>1</c:v>
                </c:pt>
              </c:numCache>
            </c:numRef>
          </c:xVal>
          <c:yVal>
            <c:numRef>
              <c:f>'Straight curve'!$Q$2:$Q$6</c:f>
              <c:numCache>
                <c:formatCode>General</c:formatCode>
                <c:ptCount val="5"/>
                <c:pt idx="0">
                  <c:v>3.3000000000000002E-2</c:v>
                </c:pt>
                <c:pt idx="1">
                  <c:v>1.7999999999999999E-2</c:v>
                </c:pt>
                <c:pt idx="2">
                  <c:v>3.5000000000000003E-2</c:v>
                </c:pt>
                <c:pt idx="3">
                  <c:v>8.9999999999999993E-3</c:v>
                </c:pt>
                <c:pt idx="4">
                  <c:v>3.3000000000000002E-2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5-674D-9D07-001179828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150728"/>
        <c:axId val="2061152776"/>
      </c:scatterChart>
      <c:valAx>
        <c:axId val="20611507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52776"/>
        <c:crosses val="autoZero"/>
        <c:crossBetween val="midCat"/>
      </c:valAx>
      <c:valAx>
        <c:axId val="206115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50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'Straight curve'!$I$1</c:f>
              <c:strCache>
                <c:ptCount val="1"/>
                <c:pt idx="0">
                  <c:v>Y Position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'Straight curve'!$H$2:$H$43</c:f>
              <c:numCache>
                <c:formatCode>General</c:formatCode>
                <c:ptCount val="42"/>
                <c:pt idx="0">
                  <c:v>0</c:v>
                </c:pt>
                <c:pt idx="1">
                  <c:v>2.4390243902439025E-2</c:v>
                </c:pt>
                <c:pt idx="2">
                  <c:v>4.878048780487805E-2</c:v>
                </c:pt>
                <c:pt idx="3">
                  <c:v>7.3170731707317069E-2</c:v>
                </c:pt>
                <c:pt idx="4">
                  <c:v>9.7560975609756101E-2</c:v>
                </c:pt>
                <c:pt idx="5">
                  <c:v>0.12195121951219512</c:v>
                </c:pt>
                <c:pt idx="6">
                  <c:v>0.14634146341463414</c:v>
                </c:pt>
                <c:pt idx="7">
                  <c:v>0.17073170731707318</c:v>
                </c:pt>
                <c:pt idx="8">
                  <c:v>0.1951219512195122</c:v>
                </c:pt>
                <c:pt idx="9">
                  <c:v>0.21951219512195122</c:v>
                </c:pt>
                <c:pt idx="10">
                  <c:v>0.24390243902439024</c:v>
                </c:pt>
                <c:pt idx="11">
                  <c:v>0.26829268292682928</c:v>
                </c:pt>
                <c:pt idx="12">
                  <c:v>0.29268292682926828</c:v>
                </c:pt>
                <c:pt idx="13">
                  <c:v>0.31707317073170732</c:v>
                </c:pt>
                <c:pt idx="14">
                  <c:v>0.34146341463414637</c:v>
                </c:pt>
                <c:pt idx="15">
                  <c:v>0.36585365853658536</c:v>
                </c:pt>
                <c:pt idx="16">
                  <c:v>0.3902439024390244</c:v>
                </c:pt>
                <c:pt idx="17">
                  <c:v>0.41463414634146339</c:v>
                </c:pt>
                <c:pt idx="18">
                  <c:v>0.43902439024390244</c:v>
                </c:pt>
                <c:pt idx="19">
                  <c:v>0.46341463414634149</c:v>
                </c:pt>
                <c:pt idx="20">
                  <c:v>0.48780487804878048</c:v>
                </c:pt>
                <c:pt idx="21">
                  <c:v>0.51219512195121952</c:v>
                </c:pt>
                <c:pt idx="22">
                  <c:v>0.53658536585365857</c:v>
                </c:pt>
                <c:pt idx="23">
                  <c:v>0.56097560975609762</c:v>
                </c:pt>
                <c:pt idx="24">
                  <c:v>0.58536585365853655</c:v>
                </c:pt>
                <c:pt idx="25">
                  <c:v>0.6097560975609756</c:v>
                </c:pt>
                <c:pt idx="26">
                  <c:v>0.63414634146341464</c:v>
                </c:pt>
                <c:pt idx="27">
                  <c:v>0.65853658536585369</c:v>
                </c:pt>
                <c:pt idx="28">
                  <c:v>0.68292682926829273</c:v>
                </c:pt>
                <c:pt idx="29">
                  <c:v>0.70731707317073167</c:v>
                </c:pt>
                <c:pt idx="30">
                  <c:v>0.73170731707317072</c:v>
                </c:pt>
                <c:pt idx="31">
                  <c:v>0.75609756097560976</c:v>
                </c:pt>
                <c:pt idx="32">
                  <c:v>0.78048780487804881</c:v>
                </c:pt>
                <c:pt idx="33">
                  <c:v>0.80487804878048785</c:v>
                </c:pt>
                <c:pt idx="34">
                  <c:v>0.82926829268292679</c:v>
                </c:pt>
                <c:pt idx="35">
                  <c:v>0.85365853658536583</c:v>
                </c:pt>
                <c:pt idx="36">
                  <c:v>0.87804878048780488</c:v>
                </c:pt>
                <c:pt idx="37">
                  <c:v>0.90243902439024393</c:v>
                </c:pt>
                <c:pt idx="38">
                  <c:v>0.92682926829268297</c:v>
                </c:pt>
                <c:pt idx="39">
                  <c:v>0.95121951219512191</c:v>
                </c:pt>
                <c:pt idx="40">
                  <c:v>0.97560975609756095</c:v>
                </c:pt>
                <c:pt idx="41">
                  <c:v>1</c:v>
                </c:pt>
              </c:numCache>
            </c:numRef>
          </c:xVal>
          <c:yVal>
            <c:numRef>
              <c:f>'Straight curve'!$I$2:$I$43</c:f>
              <c:numCache>
                <c:formatCode>General</c:formatCode>
                <c:ptCount val="42"/>
                <c:pt idx="0">
                  <c:v>0</c:v>
                </c:pt>
                <c:pt idx="1">
                  <c:v>3.2692912870977746E-2</c:v>
                </c:pt>
                <c:pt idx="2">
                  <c:v>6.46299202420485E-2</c:v>
                </c:pt>
                <c:pt idx="3">
                  <c:v>9.5858266206956436E-2</c:v>
                </c:pt>
                <c:pt idx="4">
                  <c:v>0.12514960432835268</c:v>
                </c:pt>
                <c:pt idx="5">
                  <c:v>0.1515118086376093</c:v>
                </c:pt>
                <c:pt idx="6">
                  <c:v>0.17692913107198219</c:v>
                </c:pt>
                <c:pt idx="7">
                  <c:v>0.1987559023817968</c:v>
                </c:pt>
                <c:pt idx="8">
                  <c:v>0.21765353987947181</c:v>
                </c:pt>
                <c:pt idx="9">
                  <c:v>0.23593700415847235</c:v>
                </c:pt>
                <c:pt idx="10">
                  <c:v>0.25573227943728694</c:v>
                </c:pt>
                <c:pt idx="11">
                  <c:v>0.27779527121582248</c:v>
                </c:pt>
                <c:pt idx="12">
                  <c:v>0.30283464090024181</c:v>
                </c:pt>
                <c:pt idx="13">
                  <c:v>0.32914960111575431</c:v>
                </c:pt>
                <c:pt idx="14">
                  <c:v>0.35792125420596449</c:v>
                </c:pt>
                <c:pt idx="15">
                  <c:v>0.38933857654584914</c:v>
                </c:pt>
                <c:pt idx="16">
                  <c:v>0.42297637129171067</c:v>
                </c:pt>
                <c:pt idx="17">
                  <c:v>0.45845668569359549</c:v>
                </c:pt>
                <c:pt idx="18">
                  <c:v>0.49209448043945697</c:v>
                </c:pt>
                <c:pt idx="19">
                  <c:v>0.5242204641855045</c:v>
                </c:pt>
                <c:pt idx="20">
                  <c:v>0.55299211727571462</c:v>
                </c:pt>
                <c:pt idx="21">
                  <c:v>0.57987400661615729</c:v>
                </c:pt>
                <c:pt idx="22">
                  <c:v>0.60453542355062317</c:v>
                </c:pt>
                <c:pt idx="23">
                  <c:v>0.627165344454089</c:v>
                </c:pt>
                <c:pt idx="24">
                  <c:v>0.64804723388901986</c:v>
                </c:pt>
                <c:pt idx="25">
                  <c:v>0.66618896588678789</c:v>
                </c:pt>
                <c:pt idx="26">
                  <c:v>0.68319683963469546</c:v>
                </c:pt>
                <c:pt idx="27">
                  <c:v>0.69609447722685858</c:v>
                </c:pt>
                <c:pt idx="28">
                  <c:v>0.70691337469427751</c:v>
                </c:pt>
                <c:pt idx="29">
                  <c:v>0.71626770525562666</c:v>
                </c:pt>
                <c:pt idx="30">
                  <c:v>0.72822046097290605</c:v>
                </c:pt>
                <c:pt idx="31">
                  <c:v>0.74092912219009255</c:v>
                </c:pt>
                <c:pt idx="32">
                  <c:v>0.75718109043809312</c:v>
                </c:pt>
                <c:pt idx="33">
                  <c:v>0.77584250746704708</c:v>
                </c:pt>
                <c:pt idx="34">
                  <c:v>0.79582675912083833</c:v>
                </c:pt>
                <c:pt idx="35">
                  <c:v>0.81826770364932744</c:v>
                </c:pt>
                <c:pt idx="36">
                  <c:v>0.84387400245867705</c:v>
                </c:pt>
                <c:pt idx="37">
                  <c:v>0.87132282092405</c:v>
                </c:pt>
                <c:pt idx="38">
                  <c:v>0.90009447401426024</c:v>
                </c:pt>
                <c:pt idx="39">
                  <c:v>0.9329763632602146</c:v>
                </c:pt>
                <c:pt idx="40">
                  <c:v>0.96642518163109947</c:v>
                </c:pt>
                <c:pt idx="41">
                  <c:v>0.99949604725203067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8-DF41-A507-FE2B981F2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150728"/>
        <c:axId val="2061152776"/>
      </c:scatterChart>
      <c:valAx>
        <c:axId val="20611507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52776"/>
        <c:crosses val="autoZero"/>
        <c:crossBetween val="midCat"/>
      </c:valAx>
      <c:valAx>
        <c:axId val="206115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5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Blaze!$B$2:$B$10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xVal>
          <c:yVal>
            <c:numRef>
              <c:f>Blaze!$H$2:$H$10</c:f>
              <c:numCache>
                <c:formatCode>General</c:formatCode>
                <c:ptCount val="9"/>
                <c:pt idx="0">
                  <c:v>0.47377520671079504</c:v>
                </c:pt>
                <c:pt idx="1">
                  <c:v>0.4721414857276216</c:v>
                </c:pt>
                <c:pt idx="2">
                  <c:v>0.44660526188875838</c:v>
                </c:pt>
                <c:pt idx="3">
                  <c:v>0.4206358702965432</c:v>
                </c:pt>
                <c:pt idx="4">
                  <c:v>0.41605971806323688</c:v>
                </c:pt>
                <c:pt idx="5">
                  <c:v>0.43671791450838798</c:v>
                </c:pt>
                <c:pt idx="6">
                  <c:v>0.46336080034183963</c:v>
                </c:pt>
                <c:pt idx="7">
                  <c:v>0.49812939250954336</c:v>
                </c:pt>
                <c:pt idx="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0-5A42-B3D8-B0614B1B51A2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Blaze!$B$2:$B$10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xVal>
          <c:yVal>
            <c:numRef>
              <c:f>Blaze!$I$2:$I$10</c:f>
              <c:numCache>
                <c:formatCode>General</c:formatCode>
                <c:ptCount val="9"/>
                <c:pt idx="0">
                  <c:v>0.53048456848309999</c:v>
                </c:pt>
                <c:pt idx="1">
                  <c:v>0.52930853354638718</c:v>
                </c:pt>
                <c:pt idx="2">
                  <c:v>0.54792705757212234</c:v>
                </c:pt>
                <c:pt idx="3">
                  <c:v>0.53088414583764032</c:v>
                </c:pt>
                <c:pt idx="4">
                  <c:v>0.49484400868359019</c:v>
                </c:pt>
                <c:pt idx="5">
                  <c:v>0.46854987617756094</c:v>
                </c:pt>
                <c:pt idx="6">
                  <c:v>0.46168971172625312</c:v>
                </c:pt>
                <c:pt idx="7">
                  <c:v>0.47432300675888733</c:v>
                </c:pt>
                <c:pt idx="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C0-5A42-B3D8-B0614B1B51A2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12011129157158"/>
                  <c:y val="7.19477373020680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Blaze!$B$2:$B$10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xVal>
          <c:yVal>
            <c:numRef>
              <c:f>Blaze!$J$2:$J$10</c:f>
              <c:numCache>
                <c:formatCode>General</c:formatCode>
                <c:ptCount val="9"/>
                <c:pt idx="0">
                  <c:v>3.3148261140394042E-2</c:v>
                </c:pt>
                <c:pt idx="1">
                  <c:v>6.2131516528938155E-2</c:v>
                </c:pt>
                <c:pt idx="2">
                  <c:v>0.12858366218311287</c:v>
                </c:pt>
                <c:pt idx="3">
                  <c:v>0.18946777092292316</c:v>
                </c:pt>
                <c:pt idx="4">
                  <c:v>0.25109436912273414</c:v>
                </c:pt>
                <c:pt idx="5">
                  <c:v>0.3156909319076075</c:v>
                </c:pt>
                <c:pt idx="6">
                  <c:v>0.37867141204121363</c:v>
                </c:pt>
                <c:pt idx="7">
                  <c:v>0.43932585823300335</c:v>
                </c:pt>
                <c:pt idx="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C0-5A42-B3D8-B0614B1B5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24208"/>
        <c:axId val="1569596720"/>
      </c:scatterChart>
      <c:valAx>
        <c:axId val="157612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596720"/>
        <c:crosses val="autoZero"/>
        <c:crossBetween val="midCat"/>
      </c:valAx>
      <c:valAx>
        <c:axId val="15695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2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3176</xdr:colOff>
      <xdr:row>6</xdr:row>
      <xdr:rowOff>72072</xdr:rowOff>
    </xdr:from>
    <xdr:to>
      <xdr:col>62</xdr:col>
      <xdr:colOff>134303</xdr:colOff>
      <xdr:row>61</xdr:row>
      <xdr:rowOff>194310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F9A45-B9FA-2E4F-9EC9-FDA749666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648230</xdr:colOff>
      <xdr:row>3</xdr:row>
      <xdr:rowOff>25400</xdr:rowOff>
    </xdr:from>
    <xdr:to>
      <xdr:col>28</xdr:col>
      <xdr:colOff>496093</xdr:colOff>
      <xdr:row>47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EFF285-4F9A-9079-FD06-4746AA4D3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99018</xdr:colOff>
      <xdr:row>3</xdr:row>
      <xdr:rowOff>74790</xdr:rowOff>
    </xdr:from>
    <xdr:to>
      <xdr:col>18</xdr:col>
      <xdr:colOff>199741</xdr:colOff>
      <xdr:row>18</xdr:row>
      <xdr:rowOff>176817</xdr:rowOff>
    </xdr:to>
    <xdr:graphicFrame macro="">
      <xdr:nvGraphicFramePr>
        <xdr:cNvPr id="23" name="Chart 2">
          <a:extLst>
            <a:ext uri="{FF2B5EF4-FFF2-40B4-BE49-F238E27FC236}">
              <a16:creationId xmlns:a16="http://schemas.microsoft.com/office/drawing/2014/main" id="{1F3CC693-1A86-6593-0AA0-D4303A21A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767080</xdr:colOff>
      <xdr:row>29</xdr:row>
      <xdr:rowOff>152400</xdr:rowOff>
    </xdr:from>
    <xdr:to>
      <xdr:col>13</xdr:col>
      <xdr:colOff>50800</xdr:colOff>
      <xdr:row>51</xdr:row>
      <xdr:rowOff>127000</xdr:rowOff>
    </xdr:to>
    <xdr:graphicFrame macro="">
      <xdr:nvGraphicFramePr>
        <xdr:cNvPr id="16" name="Chart 7">
          <a:extLst>
            <a:ext uri="{FF2B5EF4-FFF2-40B4-BE49-F238E27FC236}">
              <a16:creationId xmlns:a16="http://schemas.microsoft.com/office/drawing/2014/main" id="{CFE2E187-0595-1B8D-7008-3D594A5AA0E3}"/>
            </a:ext>
            <a:ext uri="{147F2762-F138-4A5C-976F-8EAC2B608ADB}">
              <a16:predDERef xmlns:a16="http://schemas.microsoft.com/office/drawing/2014/main" pred="{1F3CC693-1A86-6593-0AA0-D4303A21A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181427</xdr:colOff>
      <xdr:row>24</xdr:row>
      <xdr:rowOff>195553</xdr:rowOff>
    </xdr:from>
    <xdr:to>
      <xdr:col>23</xdr:col>
      <xdr:colOff>711869</xdr:colOff>
      <xdr:row>39</xdr:row>
      <xdr:rowOff>55825</xdr:rowOff>
    </xdr:to>
    <xdr:graphicFrame macro="">
      <xdr:nvGraphicFramePr>
        <xdr:cNvPr id="22" name="Chart 8">
          <a:extLst>
            <a:ext uri="{FF2B5EF4-FFF2-40B4-BE49-F238E27FC236}">
              <a16:creationId xmlns:a16="http://schemas.microsoft.com/office/drawing/2014/main" id="{00214722-DCF9-528F-294F-2F2A4381B20E}"/>
            </a:ext>
            <a:ext uri="{147F2762-F138-4A5C-976F-8EAC2B608ADB}">
              <a16:predDERef xmlns:a16="http://schemas.microsoft.com/office/drawing/2014/main" pred="{CFE2E187-0595-1B8D-7008-3D594A5AA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433937</xdr:colOff>
      <xdr:row>4</xdr:row>
      <xdr:rowOff>46336</xdr:rowOff>
    </xdr:from>
    <xdr:to>
      <xdr:col>32</xdr:col>
      <xdr:colOff>39737</xdr:colOff>
      <xdr:row>19</xdr:row>
      <xdr:rowOff>114213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2A4C1677-8FEE-4EF2-951E-7EFACD0F7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71748</xdr:colOff>
      <xdr:row>19</xdr:row>
      <xdr:rowOff>98324</xdr:rowOff>
    </xdr:from>
    <xdr:to>
      <xdr:col>22</xdr:col>
      <xdr:colOff>599152</xdr:colOff>
      <xdr:row>37</xdr:row>
      <xdr:rowOff>98324</xdr:rowOff>
    </xdr:to>
    <xdr:graphicFrame macro="">
      <xdr:nvGraphicFramePr>
        <xdr:cNvPr id="15" name="Chart 4">
          <a:extLst>
            <a:ext uri="{FF2B5EF4-FFF2-40B4-BE49-F238E27FC236}">
              <a16:creationId xmlns:a16="http://schemas.microsoft.com/office/drawing/2014/main" id="{D49D3A29-4C0E-B73D-0D11-DCA683989E2D}"/>
            </a:ext>
            <a:ext uri="{147F2762-F138-4A5C-976F-8EAC2B608ADB}">
              <a16:predDERef xmlns:a16="http://schemas.microsoft.com/office/drawing/2014/main" pred="{2A4C1677-8FEE-4EF2-951E-7EFACD0F7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657953</xdr:colOff>
      <xdr:row>41</xdr:row>
      <xdr:rowOff>115455</xdr:rowOff>
    </xdr:from>
    <xdr:to>
      <xdr:col>23</xdr:col>
      <xdr:colOff>22291</xdr:colOff>
      <xdr:row>59</xdr:row>
      <xdr:rowOff>115454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8722773C-E697-E14D-A750-EAD2C58060AB}"/>
            </a:ext>
            <a:ext uri="{147F2762-F138-4A5C-976F-8EAC2B608ADB}">
              <a16:predDERef xmlns:a16="http://schemas.microsoft.com/office/drawing/2014/main" pred="{2A4C1677-8FEE-4EF2-951E-7EFACD0F7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168855</xdr:colOff>
      <xdr:row>41</xdr:row>
      <xdr:rowOff>159058</xdr:rowOff>
    </xdr:from>
    <xdr:to>
      <xdr:col>8</xdr:col>
      <xdr:colOff>753875</xdr:colOff>
      <xdr:row>64</xdr:row>
      <xdr:rowOff>111433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E59644-3948-7069-CC87-CC088C701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874262</xdr:colOff>
      <xdr:row>19</xdr:row>
      <xdr:rowOff>25714</xdr:rowOff>
    </xdr:from>
    <xdr:to>
      <xdr:col>9</xdr:col>
      <xdr:colOff>22186</xdr:colOff>
      <xdr:row>40</xdr:row>
      <xdr:rowOff>25714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ACCE69-B1D2-4483-A9CD-99893F908734}"/>
            </a:ext>
            <a:ext uri="{147F2762-F138-4A5C-976F-8EAC2B608ADB}">
              <a16:predDERef xmlns:a16="http://schemas.microsoft.com/office/drawing/2014/main" pred="{EBE59644-3948-7069-CC87-CC088C701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468954</xdr:colOff>
      <xdr:row>18</xdr:row>
      <xdr:rowOff>72134</xdr:rowOff>
    </xdr:from>
    <xdr:to>
      <xdr:col>23</xdr:col>
      <xdr:colOff>371744</xdr:colOff>
      <xdr:row>39</xdr:row>
      <xdr:rowOff>79658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69CEDD7C-944F-3631-CFFC-A84371A32DE6}"/>
            </a:ext>
            <a:ext uri="{147F2762-F138-4A5C-976F-8EAC2B608ADB}">
              <a16:predDERef xmlns:a16="http://schemas.microsoft.com/office/drawing/2014/main" pred="{1EACCE69-B1D2-4483-A9CD-99893F908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329596</xdr:colOff>
      <xdr:row>1</xdr:row>
      <xdr:rowOff>125186</xdr:rowOff>
    </xdr:from>
    <xdr:to>
      <xdr:col>24</xdr:col>
      <xdr:colOff>139096</xdr:colOff>
      <xdr:row>15</xdr:row>
      <xdr:rowOff>116720</xdr:rowOff>
    </xdr:to>
    <xdr:graphicFrame macro="">
      <xdr:nvGraphicFramePr>
        <xdr:cNvPr id="9" name="Chart 4">
          <a:extLst>
            <a:ext uri="{FF2B5EF4-FFF2-40B4-BE49-F238E27FC236}">
              <a16:creationId xmlns:a16="http://schemas.microsoft.com/office/drawing/2014/main" id="{969DA851-21CF-EF7F-1617-F8E1BFA519E6}"/>
            </a:ext>
            <a:ext uri="{147F2762-F138-4A5C-976F-8EAC2B608ADB}">
              <a16:predDERef xmlns:a16="http://schemas.microsoft.com/office/drawing/2014/main" pred="{69CEDD7C-944F-3631-CFFC-A84371A32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349603</xdr:colOff>
      <xdr:row>22</xdr:row>
      <xdr:rowOff>150871</xdr:rowOff>
    </xdr:from>
    <xdr:to>
      <xdr:col>26</xdr:col>
      <xdr:colOff>651228</xdr:colOff>
      <xdr:row>46</xdr:row>
      <xdr:rowOff>108656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476A7DF1-1E71-9A9D-454D-DA93C54F0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454920</xdr:colOff>
      <xdr:row>38</xdr:row>
      <xdr:rowOff>11886</xdr:rowOff>
    </xdr:from>
    <xdr:to>
      <xdr:col>9</xdr:col>
      <xdr:colOff>444500</xdr:colOff>
      <xdr:row>52</xdr:row>
      <xdr:rowOff>101600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21BD379-7CBD-CAB4-BA65-F9E113FAF970}"/>
            </a:ext>
            <a:ext uri="{147F2762-F138-4A5C-976F-8EAC2B608ADB}">
              <a16:predDERef xmlns:a16="http://schemas.microsoft.com/office/drawing/2014/main" pred="{476A7DF1-1E71-9A9D-454D-DA93C54F0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120650</xdr:colOff>
      <xdr:row>38</xdr:row>
      <xdr:rowOff>146049</xdr:rowOff>
    </xdr:from>
    <xdr:to>
      <xdr:col>18</xdr:col>
      <xdr:colOff>266700</xdr:colOff>
      <xdr:row>59</xdr:row>
      <xdr:rowOff>91807</xdr:rowOff>
    </xdr:to>
    <xdr:graphicFrame macro="">
      <xdr:nvGraphicFramePr>
        <xdr:cNvPr id="82" name="Chart 8">
          <a:extLst>
            <a:ext uri="{FF2B5EF4-FFF2-40B4-BE49-F238E27FC236}">
              <a16:creationId xmlns:a16="http://schemas.microsoft.com/office/drawing/2014/main" id="{67FAAF7B-0D21-2E5A-9A03-833BD523332C}"/>
            </a:ext>
            <a:ext uri="{147F2762-F138-4A5C-976F-8EAC2B608ADB}">
              <a16:predDERef xmlns:a16="http://schemas.microsoft.com/office/drawing/2014/main" pred="{021BD379-7CBD-CAB4-BA65-F9E113FAF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823309</xdr:colOff>
      <xdr:row>8</xdr:row>
      <xdr:rowOff>145976</xdr:rowOff>
    </xdr:from>
    <xdr:to>
      <xdr:col>20</xdr:col>
      <xdr:colOff>321148</xdr:colOff>
      <xdr:row>29</xdr:row>
      <xdr:rowOff>175171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650F5A-AAFF-EB98-A1E4-6740706AF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242494</xdr:colOff>
      <xdr:row>35</xdr:row>
      <xdr:rowOff>87931</xdr:rowOff>
    </xdr:from>
    <xdr:to>
      <xdr:col>20</xdr:col>
      <xdr:colOff>630793</xdr:colOff>
      <xdr:row>67</xdr:row>
      <xdr:rowOff>204711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551026-186C-C7FF-FEDF-8A877549FD6D}"/>
            </a:ext>
            <a:ext uri="{147F2762-F138-4A5C-976F-8EAC2B608ADB}">
              <a16:predDERef xmlns:a16="http://schemas.microsoft.com/office/drawing/2014/main" pred="{F1650F5A-AAFF-EB98-A1E4-6740706AF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588569</xdr:colOff>
      <xdr:row>5</xdr:row>
      <xdr:rowOff>190226</xdr:rowOff>
    </xdr:from>
    <xdr:to>
      <xdr:col>19</xdr:col>
      <xdr:colOff>273118</xdr:colOff>
      <xdr:row>27</xdr:row>
      <xdr:rowOff>61314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2C990E-20E5-282F-9323-DB598E679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7D9E80-8FAF-5141-8AC5-FB6F7F573140}" name="Table9" displayName="Table9" ref="A1:D144" totalsRowShown="0">
  <autoFilter ref="A1:D144" xr:uid="{1D7D9E80-8FAF-5141-8AC5-FB6F7F573140}"/>
  <tableColumns count="4">
    <tableColumn id="2" xr3:uid="{799F7FB1-EE95-C24B-ADED-2AB979F13372}" name="unnorm_x"/>
    <tableColumn id="1" xr3:uid="{C2E477BD-1F78-3745-921B-6D8509540A13}" name="X" dataDxfId="47">
      <calculatedColumnFormula>Table9[[#This Row],[unnorm_x]]/$A$144</calculatedColumnFormula>
    </tableColumn>
    <tableColumn id="3" xr3:uid="{E5892D18-A190-FE46-99A6-CE2205838599}" name="Colour"/>
    <tableColumn id="5" xr3:uid="{0BEF3B22-D75A-DE42-9DBA-FCB0C1D2324D}" name="Width" dataDxfId="46">
      <calculatedColumnFormula>Table9[[#This Row],[X]]-B1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8CF2F95-6F65-EF41-984F-AE2A84B66262}" name="Table7" displayName="Table7" ref="A1:E5" totalsRowShown="0">
  <autoFilter ref="A1:E5" xr:uid="{48CF2F95-6F65-EF41-984F-AE2A84B66262}"/>
  <tableColumns count="5">
    <tableColumn id="1" xr3:uid="{1E6A6E30-9CEA-D64F-9433-CB177D7DD19B}" name="Index"/>
    <tableColumn id="4" xr3:uid="{3D1ECB0F-26C2-0046-BE1A-34961139BC6A}" name="Trough x"/>
    <tableColumn id="2" xr3:uid="{0D20B163-7108-7947-B3FF-66D6015EB496}" name="Trough y"/>
    <tableColumn id="5" xr3:uid="{2E536654-4911-B645-8C5C-DC65809AA6C8}" name="Peak x"/>
    <tableColumn id="3" xr3:uid="{76A4238A-625E-2047-9E62-E6B576DAFA28}" name="Peak 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394DD7-DFA0-7845-8018-62A7D384F3EF}" name="Table8" displayName="Table8" ref="A19:I27" totalsRowShown="0">
  <autoFilter ref="A19:I27" xr:uid="{17394DD7-DFA0-7845-8018-62A7D384F3EF}"/>
  <tableColumns count="9">
    <tableColumn id="1" xr3:uid="{7ACBC502-77FC-DD44-97A3-8CB619CCAD55}" name="Index">
      <calculatedColumnFormula>A8/7</calculatedColumnFormula>
    </tableColumn>
    <tableColumn id="2" xr3:uid="{B0EA8E49-9B04-4147-A213-3852D11705A8}" name="tough/peak y">
      <calculatedColumnFormula>B8/$H$2</calculatedColumnFormula>
    </tableColumn>
    <tableColumn id="3" xr3:uid="{F649367F-AF9B-DC45-AB66-540CBD09D325}" name="trough/peak x">
      <calculatedColumnFormula>C8/$H$1</calculatedColumnFormula>
    </tableColumn>
    <tableColumn id="4" xr3:uid="{C1C8414F-B74C-9649-A1E0-5FFF7148BF09}" name="diff">
      <calculatedColumnFormula>C20-C19</calculatedColumnFormula>
    </tableColumn>
    <tableColumn id="5" xr3:uid="{14900C00-7693-AE41-B20A-3D15A262E9C6}" name="black x" dataDxfId="45">
      <calculatedColumnFormula>E8/$H$1</calculatedColumnFormula>
    </tableColumn>
    <tableColumn id="6" xr3:uid="{65CE1D17-FACA-9F4C-B034-89DB0F2E7085}" name="white x" dataDxfId="44">
      <calculatedColumnFormula>F8/$H$1</calculatedColumnFormula>
    </tableColumn>
    <tableColumn id="7" xr3:uid="{67FD90AA-CA65-E845-A028-3A5EC1236255}" name="black diff" dataDxfId="43">
      <calculatedColumnFormula>ABS(Table8[[#This Row],[black x]]-E19)</calculatedColumnFormula>
    </tableColumn>
    <tableColumn id="8" xr3:uid="{E5C86B23-7B30-8346-9099-D87BE2E12F36}" name="white diff" dataDxfId="42">
      <calculatedColumnFormula>ABS(Table8[[#This Row],[white x]]-F19)</calculatedColumnFormula>
    </tableColumn>
    <tableColumn id="9" xr3:uid="{02C24204-45A8-5B41-A8B9-C8395A95F06E}" name="diff diff" dataDxfId="41">
      <calculatedColumnFormula>Table8[[#This Row],[white diff]]-Table8[[#This Row],[black diff]]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B5EBA92-54D0-4CDF-A429-F9E28EB4F73E}" name="Table5" displayName="Table5" ref="A1:D29" totalsRowShown="0">
  <autoFilter ref="A1:D29" xr:uid="{4B5EBA92-54D0-4CDF-A429-F9E28EB4F73E}"/>
  <tableColumns count="4">
    <tableColumn id="1" xr3:uid="{0AE83E98-B580-4DD8-8F27-E8E2E03D1C01}" name="Index"/>
    <tableColumn id="2" xr3:uid="{F9D49BEA-B225-47C2-BECB-F61B19BF4F06}" name="x coord"/>
    <tableColumn id="4" xr3:uid="{32EC3548-475C-4C3E-83E6-D07D5C5D4800}" name="N_index" dataDxfId="40">
      <calculatedColumnFormula>Table5[[#This Row],[Index]]/$A$29</calculatedColumnFormula>
    </tableColumn>
    <tableColumn id="5" xr3:uid="{11E47D72-2A9F-47C4-B9EC-A1EFEB97700F}" name="X Position" dataDxfId="39">
      <calculatedColumnFormula>Table5[[#This Row],[x coord]]/$N$1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587121-58E8-4093-A7EB-DAB7062D1EB3}" name="Table6" displayName="Table6" ref="F1:J43" totalsRowShown="0" tableBorderDxfId="38">
  <autoFilter ref="F1:J43" xr:uid="{FC587121-58E8-4093-A7EB-DAB7062D1EB3}"/>
  <tableColumns count="5">
    <tableColumn id="1" xr3:uid="{7F5E0AB4-362A-464B-8581-323DD4AC0F33}" name="Index"/>
    <tableColumn id="2" xr3:uid="{B65CDFF2-48E0-4B4C-BE8B-126D6E4DA403}" name="y coord" dataDxfId="37"/>
    <tableColumn id="3" xr3:uid="{E11A1173-A980-4EEE-BD80-93A840341053}" name="N_index" dataDxfId="36">
      <calculatedColumnFormula>Table6[[#This Row],[Index]]/$F$43</calculatedColumnFormula>
    </tableColumn>
    <tableColumn id="5" xr3:uid="{34AD6BFB-8AC2-4601-8024-3404372E73AF}" name="Y Position" dataDxfId="35">
      <calculatedColumnFormula>Table6[[#This Row],[y coord]]/$N$2</calculatedColumnFormula>
    </tableColumn>
    <tableColumn id="4" xr3:uid="{E906CC99-232D-6F4C-8B66-7A8A9EDF710F}" name="Cell Height" dataDxfId="34">
      <calculatedColumnFormula>Table6[[#This Row],[Y Position]]-I1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C76306-CD34-D647-B5BA-84D0A8C20003}" name="Table4" displayName="Table4" ref="A1:P10" totalsRowShown="0">
  <autoFilter ref="A1:P10" xr:uid="{3EC76306-CD34-D647-B5BA-84D0A8C20003}"/>
  <tableColumns count="16">
    <tableColumn id="1" xr3:uid="{480BDFE2-B5A4-404A-A258-C15F430EFFD4}" name="Circle index">
      <calculatedColumnFormula>A1+1</calculatedColumnFormula>
    </tableColumn>
    <tableColumn id="2" xr3:uid="{0C3CFB07-ED97-1C41-BCC4-51779054D0B2}" name="Normalised circle index">
      <calculatedColumnFormula>A2/8</calculatedColumnFormula>
    </tableColumn>
    <tableColumn id="3" xr3:uid="{89F5D6D1-9514-4C48-8F24-4286972A567C}" name="cx"/>
    <tableColumn id="4" xr3:uid="{7D47193F-AF4E-DE4C-87EE-791FAAAF6C86}" name="cy"/>
    <tableColumn id="5" xr3:uid="{F78C432F-CDF7-A942-A0D0-88B2A0D4BA5E}" name="r"/>
    <tableColumn id="9" xr3:uid="{AF0BD217-58EE-42D6-AE2C-C46CA0B12502}" name="Point x"/>
    <tableColumn id="10" xr3:uid="{950C0CE9-180A-4A71-BA22-67776B876761}" name="Point y"/>
    <tableColumn id="6" xr3:uid="{7C686889-894D-7441-956A-1BB94D2EAD9B}" name="Normalised cx">
      <calculatedColumnFormula>(C2-$B$16)/$B$14</calculatedColumnFormula>
    </tableColumn>
    <tableColumn id="7" xr3:uid="{E26E6331-D34F-3145-8E97-0A648A1F2B8F}" name="Normalised cy">
      <calculatedColumnFormula>(D2-$B$17)/$B$15</calculatedColumnFormula>
    </tableColumn>
    <tableColumn id="8" xr3:uid="{DFED5905-F988-8F4C-B699-BDDBC0FA0152}" name="Normalised r" dataDxfId="33">
      <calculatedColumnFormula>Table4[[#This Row],[r]]/$B$14</calculatedColumnFormula>
    </tableColumn>
    <tableColumn id="11" xr3:uid="{21842F81-7318-4F2F-A987-99DB911BB622}" name="Normalised point x" dataDxfId="32">
      <calculatedColumnFormula>(F2-$B$16)/$B$14</calculatedColumnFormula>
    </tableColumn>
    <tableColumn id="12" xr3:uid="{2F0C8D18-AC21-4BFA-8634-0EF83E1B31C4}" name="Normalised point y" dataDxfId="31">
      <calculatedColumnFormula>(G2-$B$17)/$B$15</calculatedColumnFormula>
    </tableColumn>
    <tableColumn id="13" xr3:uid="{CF3DAEC9-B770-E04B-9BA2-DF1956F330F2}" name="Vector x" dataDxfId="30">
      <calculatedColumnFormula>Table4[[#This Row],[Point x]]-Table4[[#This Row],[cx]]</calculatedColumnFormula>
    </tableColumn>
    <tableColumn id="14" xr3:uid="{B437D90B-3874-5B40-B826-B04344334107}" name="Vector y" dataDxfId="29">
      <calculatedColumnFormula>Table4[[#This Row],[Point y]]-Table4[[#This Row],[cy]]</calculatedColumnFormula>
    </tableColumn>
    <tableColumn id="15" xr3:uid="{4BAAE237-808A-EC40-BC29-D90C3BB6DB7E}" name="Angle" dataDxfId="28">
      <calculatedColumnFormula>ATAN2(Table4[[#This Row],[Vector x]], Table4[[#This Row],[Vector y]])</calculatedColumnFormula>
    </tableColumn>
    <tableColumn id="16" xr3:uid="{6F748C24-4614-F74E-B4AF-493832427E92}" name="Diff" dataDxfId="27">
      <calculatedColumnFormula>Table4[[#This Row],[Angle]]-O1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0F2602-18DC-4828-BDBB-3983CF959EF0}" name="Table2" displayName="Table2" ref="A1:O32" totalsRowCount="1">
  <autoFilter ref="A1:O31" xr:uid="{040F2602-18DC-4828-BDBB-3983CF959EF0}"/>
  <tableColumns count="15">
    <tableColumn id="1" xr3:uid="{44957AC2-150E-4D54-8DFF-47C6DE4837E1}" name="Index"/>
    <tableColumn id="11" xr3:uid="{D37A6657-5F7A-44CF-BB14-0492B6727EED}" name="Normalised index" dataDxfId="26">
      <calculatedColumnFormula>Table2[[#This Row],[Index]]/29</calculatedColumnFormula>
    </tableColumn>
    <tableColumn id="2" xr3:uid="{981E9B40-AB01-4170-9457-2F8450494A45}" name="Peak x"/>
    <tableColumn id="12" xr3:uid="{D234EE7A-C91F-4307-A7C9-B59ED7E9FD14}" name="Normalised peak x" dataDxfId="25">
      <calculatedColumnFormula>Table2[[#This Row],[Peak x]]/215.9</calculatedColumnFormula>
    </tableColumn>
    <tableColumn id="3" xr3:uid="{EBED7C4B-D300-4A26-BB9A-9EF58228FD03}" name="Peak y"/>
    <tableColumn id="7" xr3:uid="{3615D777-450C-438B-AC7A-5D219E4472EF}" name="Phase diff" dataDxfId="24">
      <calculatedColumnFormula>((Table2[[#This Row],[Peak y]]-$E$2)/(Table2[[#Totals],[Normalised Time period]]*215.9))*2*PI()</calculatedColumnFormula>
    </tableColumn>
    <tableColumn id="8" xr3:uid="{F55E4E03-14FC-45F0-B207-C142C9DA0C80}" name="Normalised phase diff" dataDxfId="23">
      <calculatedColumnFormula>MOD(Table2[[#This Row],[Phase diff]] + PI(), 2*PI())-PI()</calculatedColumnFormula>
    </tableColumn>
    <tableColumn id="5" xr3:uid="{A4692EB8-CC59-443E-9174-A83F5E14B7C5}" name="Trough x" dataDxfId="22"/>
    <tableColumn id="6" xr3:uid="{FB6AB5F6-49C5-4F20-8435-137A1BE63134}" name="Normalised trough x" dataDxfId="21">
      <calculatedColumnFormula>Table2[[#This Row],[Trough x]]/215.9</calculatedColumnFormula>
    </tableColumn>
    <tableColumn id="4" xr3:uid="{1069BC11-54D8-6E48-B963-16162F3E9205}" name="Amplitude" totalsRowFunction="custom" dataDxfId="20">
      <calculatedColumnFormula>(Table2[[#This Row],[Normalised peak x]]-Table2[[#This Row],[Normalised trough x]])/2</calculatedColumnFormula>
      <totalsRowFormula>AVERAGE(Table2[Amplitude])</totalsRowFormula>
    </tableColumn>
    <tableColumn id="9" xr3:uid="{EDA54898-A45C-4046-A157-AF456FF9FD7F}" name="Second peak y" dataDxfId="19"/>
    <tableColumn id="10" xr3:uid="{2076063F-7B8F-404B-BA8D-29040976D0DA}" name="Normalised Time period" totalsRowFunction="custom" dataDxfId="18">
      <calculatedColumnFormula>ABS(Table2[[#This Row],[Second peak y]]-Table2[[#This Row],[Peak y]])/215.9</calculatedColumnFormula>
      <totalsRowFormula>AVERAGE(Table2[Normalised Time period])</totalsRowFormula>
    </tableColumn>
    <tableColumn id="22" xr3:uid="{821CB24A-F0FE-FC40-88CF-9EDE12C531AB}" name="Column1" dataDxfId="17">
      <calculatedColumnFormula>2*PI()</calculatedColumnFormula>
    </tableColumn>
    <tableColumn id="20" xr3:uid="{7A41A7E4-CDF7-C742-AE54-75B692938063}" name="Phase diffs shifted" dataDxfId="16">
      <calculatedColumnFormula>Table2[[#This Row],[Normalised phase diff]]+Table2[[#This Row],[Column1]]</calculatedColumnFormula>
    </tableColumn>
    <tableColumn id="23" xr3:uid="{A62CB5B6-6E76-CC44-9A30-22297DD974B8}" name="Estimate" dataDxfId="15">
      <calculatedColumnFormula>$W$14-ABS($W$15*Table2[[#This Row],[Normalised index]] - $W$14)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7091D2-22A1-554D-A067-ACD0B29228FC}" name="Table24" displayName="Table24" ref="A1:K38" totalsRowShown="0">
  <autoFilter ref="A1:K38" xr:uid="{B16674E7-9242-B34F-A90A-A96A25F78B27}"/>
  <tableColumns count="11">
    <tableColumn id="1" xr3:uid="{6554079B-A375-4D4F-9D66-7BB129CC3170}" name="UB"/>
    <tableColumn id="2" xr3:uid="{28C91AC0-2938-AE42-94E8-D67032B41CF6}" name="LB"/>
    <tableColumn id="10" xr3:uid="{B791D2C5-4765-4441-8A12-D5D64BB1C0B3}" name="Normalised UB" dataDxfId="14">
      <calculatedColumnFormula>Table24[[#This Row],[UB]]/197</calculatedColumnFormula>
    </tableColumn>
    <tableColumn id="11" xr3:uid="{94CD11FC-3723-3546-B210-35B1B4BF2C09}" name="Normalised LB" dataDxfId="13">
      <calculatedColumnFormula>Table24[[#This Row],[LB]]/197</calculatedColumnFormula>
    </tableColumn>
    <tableColumn id="3" xr3:uid="{D58D9134-60FB-5745-8EC6-1A1070215B1D}" name="Height" dataDxfId="12">
      <calculatedColumnFormula>ABS(D2-C2)</calculatedColumnFormula>
    </tableColumn>
    <tableColumn id="4" xr3:uid="{2F98C45A-E818-7440-9EAF-A97EC07ABC50}" name="ry" dataDxfId="11">
      <calculatedColumnFormula>Table24[[#This Row],[Height]]/2</calculatedColumnFormula>
    </tableColumn>
    <tableColumn id="5" xr3:uid="{044AA7A7-C606-8B48-9808-A9AA3ED11334}" name="ry_est" dataDxfId="10">
      <calculatedColumnFormula>MIN($Q$2*ABS((Table24[[#This Row],[Normalised Index]]+$S$5))+$Q$5, $T$1)</calculatedColumnFormula>
    </tableColumn>
    <tableColumn id="12" xr3:uid="{C6EF6CFA-8152-BB40-BA90-80141A88792F}" name="Normalised Index" dataDxfId="9">
      <calculatedColumnFormula>Table24[[#This Row],[index]]/36</calculatedColumnFormula>
    </tableColumn>
    <tableColumn id="6" xr3:uid="{D0C4002B-E25C-974F-99AC-8E6D390FA996}" name="index"/>
    <tableColumn id="7" xr3:uid="{49F16935-6843-B14A-9A06-1612AD4AEF88}" name="gap" dataDxfId="8">
      <calculatedColumnFormula>ABS(A3-Table24[[#This Row],[LB]])</calculatedColumnFormula>
    </tableColumn>
    <tableColumn id="8" xr3:uid="{771981F4-9B94-204A-BE09-F313AE83ABCD}" name="est_ub" dataDxfId="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D37312-8839-0941-86C0-D9CE4CAF9E9F}" name="Table1" displayName="Table1" ref="A1:F33" totalsRowShown="0" dataDxfId="6">
  <autoFilter ref="A1:F33" xr:uid="{C8D37312-8839-0941-86C0-D9CE4CAF9E9F}"/>
  <tableColumns count="6">
    <tableColumn id="6" xr3:uid="{ACD77800-9688-064B-A25F-49E175F39DAE}" name="Index" dataDxfId="1">
      <calculatedColumnFormula>Table1[[#This Row],[Index2]]/31</calculatedColumnFormula>
    </tableColumn>
    <tableColumn id="5" xr3:uid="{BA36DE9F-39FC-8946-9F32-B2D7A653793A}" name="Vertical Line X Position" dataDxfId="0">
      <calculatedColumnFormula>Table1[[#This Row],[Square boundaries]]/123</calculatedColumnFormula>
    </tableColumn>
    <tableColumn id="1" xr3:uid="{B87A1C0B-7882-3E49-8D76-EC95789CACBF}" name="Square boundaries" dataDxfId="5"/>
    <tableColumn id="2" xr3:uid="{F565D984-41B2-8542-8055-12DC8BBD0804}" name="Width" dataDxfId="4">
      <calculatedColumnFormula>Table1[[#This Row],[Vertical Line X Position]]-C1</calculatedColumnFormula>
    </tableColumn>
    <tableColumn id="3" xr3:uid="{2ACC5A59-A55B-CB46-8F44-47411D1B0DD5}" name="Matthew" dataDxfId="3">
      <calculatedColumnFormula>(3.2206*POWER(Table1[[#This Row],[Index]], 3) - 5.4091*POWER(Table1[[#This Row],[Index]], 2) + 3.1979*Table1[[#This Row],[Index]])/1.0094</calculatedColumnFormula>
    </tableColumn>
    <tableColumn id="4" xr3:uid="{7C336364-6A4B-DE42-A11E-2B65FA70EB7A}" name="Index2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D11D3-C52D-2E44-9DCD-36B6FFFDB589}">
  <dimension ref="A1:D144"/>
  <sheetViews>
    <sheetView zoomScale="75" zoomScaleNormal="60" zoomScaleSheetLayoutView="100" workbookViewId="0">
      <selection activeCell="J144" sqref="J144"/>
    </sheetView>
  </sheetViews>
  <sheetFormatPr baseColWidth="10" defaultColWidth="8.83203125" defaultRowHeight="16" x14ac:dyDescent="0.2"/>
  <cols>
    <col min="1" max="2" width="8.83203125" customWidth="1"/>
    <col min="3" max="3" width="9.6640625" customWidth="1"/>
  </cols>
  <sheetData>
    <row r="1" spans="1:4" x14ac:dyDescent="0.2">
      <c r="A1" t="s">
        <v>88</v>
      </c>
      <c r="B1" t="s">
        <v>71</v>
      </c>
      <c r="C1" t="s">
        <v>89</v>
      </c>
      <c r="D1" t="s">
        <v>4</v>
      </c>
    </row>
    <row r="2" spans="1:4" x14ac:dyDescent="0.2">
      <c r="A2">
        <v>0.76</v>
      </c>
      <c r="B2">
        <f>Table9[[#This Row],[unnorm_x]]/$A$144</f>
        <v>2.0921077986070969E-3</v>
      </c>
      <c r="C2" t="s">
        <v>83</v>
      </c>
      <c r="D2">
        <v>2.0920000000000001E-3</v>
      </c>
    </row>
    <row r="3" spans="1:4" x14ac:dyDescent="0.2">
      <c r="A3">
        <v>2.1</v>
      </c>
      <c r="B3">
        <f>Table9[[#This Row],[unnorm_x]]/$A$144</f>
        <v>5.7808241803617147E-3</v>
      </c>
      <c r="C3" t="s">
        <v>84</v>
      </c>
      <c r="D3">
        <f>Table9[[#This Row],[X]]-B2</f>
        <v>3.6887163817546178E-3</v>
      </c>
    </row>
    <row r="4" spans="1:4" x14ac:dyDescent="0.2">
      <c r="A4">
        <v>4.0599999999999996</v>
      </c>
      <c r="B4">
        <f>Table9[[#This Row],[unnorm_x]]/$A$144</f>
        <v>1.1176260082032647E-2</v>
      </c>
      <c r="C4" t="s">
        <v>85</v>
      </c>
      <c r="D4">
        <f>Table9[[#This Row],[X]]-B3</f>
        <v>5.395435901670932E-3</v>
      </c>
    </row>
    <row r="5" spans="1:4" x14ac:dyDescent="0.2">
      <c r="A5">
        <v>10.73</v>
      </c>
      <c r="B5">
        <f>Table9[[#This Row],[unnorm_x]]/$A$144</f>
        <v>2.9537258788229142E-2</v>
      </c>
      <c r="C5" t="s">
        <v>86</v>
      </c>
      <c r="D5">
        <f>Table9[[#This Row],[X]]-B4</f>
        <v>1.8360998706196494E-2</v>
      </c>
    </row>
    <row r="6" spans="1:4" x14ac:dyDescent="0.2">
      <c r="A6">
        <v>12.68</v>
      </c>
      <c r="B6">
        <f>Table9[[#This Row],[unnorm_x]]/$A$144</f>
        <v>3.4905166955707875E-2</v>
      </c>
      <c r="C6" t="s">
        <v>85</v>
      </c>
      <c r="D6">
        <f>Table9[[#This Row],[X]]-B5</f>
        <v>5.3679081674787334E-3</v>
      </c>
    </row>
    <row r="7" spans="1:4" x14ac:dyDescent="0.2">
      <c r="A7">
        <v>14.15</v>
      </c>
      <c r="B7">
        <f>Table9[[#This Row],[unnorm_x]]/$A$144</f>
        <v>3.8951743881961078E-2</v>
      </c>
      <c r="C7" t="s">
        <v>84</v>
      </c>
      <c r="D7">
        <f>Table9[[#This Row],[X]]-B6</f>
        <v>4.0465769262532023E-3</v>
      </c>
    </row>
    <row r="8" spans="1:4" x14ac:dyDescent="0.2">
      <c r="A8">
        <v>15.66</v>
      </c>
      <c r="B8">
        <f>Table9[[#This Row],[unnorm_x]]/$A$144</f>
        <v>4.3108431744983071E-2</v>
      </c>
      <c r="C8" t="s">
        <v>83</v>
      </c>
      <c r="D8">
        <f>Table9[[#This Row],[X]]-B7</f>
        <v>4.1566878630219933E-3</v>
      </c>
    </row>
    <row r="9" spans="1:4" x14ac:dyDescent="0.2">
      <c r="A9">
        <v>20.38</v>
      </c>
      <c r="B9">
        <f>Table9[[#This Row],[unnorm_x]]/$A$144</f>
        <v>5.6101522283700828E-2</v>
      </c>
      <c r="C9" t="s">
        <v>90</v>
      </c>
      <c r="D9">
        <f>Table9[[#This Row],[X]]-B8</f>
        <v>1.2993090538717757E-2</v>
      </c>
    </row>
    <row r="10" spans="1:4" x14ac:dyDescent="0.2">
      <c r="A10">
        <v>21.79</v>
      </c>
      <c r="B10">
        <f>Table9[[#This Row],[unnorm_x]]/$A$144</f>
        <v>5.998293280480084E-2</v>
      </c>
      <c r="C10" t="s">
        <v>83</v>
      </c>
      <c r="D10">
        <f>Table9[[#This Row],[X]]-B9</f>
        <v>3.8814105211000122E-3</v>
      </c>
    </row>
    <row r="11" spans="1:4" x14ac:dyDescent="0.2">
      <c r="A11">
        <v>23.14</v>
      </c>
      <c r="B11">
        <f>Table9[[#This Row],[unnorm_x]]/$A$144</f>
        <v>6.3699176920747655E-2</v>
      </c>
      <c r="C11" t="s">
        <v>84</v>
      </c>
      <c r="D11">
        <f>Table9[[#This Row],[X]]-B10</f>
        <v>3.7162441159468151E-3</v>
      </c>
    </row>
    <row r="12" spans="1:4" x14ac:dyDescent="0.2">
      <c r="A12">
        <v>25.2</v>
      </c>
      <c r="B12">
        <f>Table9[[#This Row],[unnorm_x]]/$A$144</f>
        <v>6.9369890164340572E-2</v>
      </c>
      <c r="C12" t="s">
        <v>85</v>
      </c>
      <c r="D12">
        <f>Table9[[#This Row],[X]]-B11</f>
        <v>5.6707132435929175E-3</v>
      </c>
    </row>
    <row r="13" spans="1:4" x14ac:dyDescent="0.2">
      <c r="A13">
        <v>30.13</v>
      </c>
      <c r="B13">
        <f>Table9[[#This Row],[unnorm_x]]/$A$144</f>
        <v>8.2941063121094505E-2</v>
      </c>
      <c r="C13" t="s">
        <v>87</v>
      </c>
      <c r="D13">
        <f>Table9[[#This Row],[X]]-B12</f>
        <v>1.3571172956753932E-2</v>
      </c>
    </row>
    <row r="14" spans="1:4" x14ac:dyDescent="0.2">
      <c r="A14">
        <v>32.090000000000003</v>
      </c>
      <c r="B14">
        <f>Table9[[#This Row],[unnorm_x]]/$A$144</f>
        <v>8.8336499022765455E-2</v>
      </c>
      <c r="C14" t="s">
        <v>85</v>
      </c>
      <c r="D14">
        <f>Table9[[#This Row],[X]]-B13</f>
        <v>5.3954359016709502E-3</v>
      </c>
    </row>
    <row r="15" spans="1:4" x14ac:dyDescent="0.2">
      <c r="A15">
        <v>33.71</v>
      </c>
      <c r="B15">
        <f>Table9[[#This Row],[unnorm_x]]/$A$144</f>
        <v>9.2795991961901622E-2</v>
      </c>
      <c r="C15" t="s">
        <v>84</v>
      </c>
      <c r="D15">
        <f>Table9[[#This Row],[X]]-B14</f>
        <v>4.4594929391361671E-3</v>
      </c>
    </row>
    <row r="16" spans="1:4" x14ac:dyDescent="0.2">
      <c r="A16">
        <v>35.01</v>
      </c>
      <c r="B16">
        <f>Table9[[#This Row],[unnorm_x]]/$A$144</f>
        <v>9.6374597406887433E-2</v>
      </c>
      <c r="C16" t="s">
        <v>83</v>
      </c>
      <c r="D16">
        <f>Table9[[#This Row],[X]]-B15</f>
        <v>3.5786054449858107E-3</v>
      </c>
    </row>
    <row r="17" spans="1:4" x14ac:dyDescent="0.2">
      <c r="A17">
        <v>41.24</v>
      </c>
      <c r="B17">
        <f>Table9[[#This Row],[unnorm_x]]/$A$144</f>
        <v>0.1135243758086272</v>
      </c>
      <c r="C17" t="s">
        <v>86</v>
      </c>
      <c r="D17">
        <f>Table9[[#This Row],[X]]-B16</f>
        <v>1.7149778401739771E-2</v>
      </c>
    </row>
    <row r="18" spans="1:4" x14ac:dyDescent="0.2">
      <c r="A18">
        <v>42.87</v>
      </c>
      <c r="B18">
        <f>Table9[[#This Row],[unnorm_x]]/$A$144</f>
        <v>0.11801139648195556</v>
      </c>
      <c r="C18" t="s">
        <v>83</v>
      </c>
      <c r="D18">
        <f>Table9[[#This Row],[X]]-B17</f>
        <v>4.4870206733283596E-3</v>
      </c>
    </row>
    <row r="19" spans="1:4" x14ac:dyDescent="0.2">
      <c r="A19">
        <v>44.39</v>
      </c>
      <c r="B19">
        <f>Table9[[#This Row],[unnorm_x]]/$A$144</f>
        <v>0.12219561207916978</v>
      </c>
      <c r="C19" t="s">
        <v>84</v>
      </c>
      <c r="D19">
        <f>Table9[[#This Row],[X]]-B18</f>
        <v>4.1842155972142137E-3</v>
      </c>
    </row>
    <row r="20" spans="1:4" x14ac:dyDescent="0.2">
      <c r="A20">
        <v>46.45</v>
      </c>
      <c r="B20">
        <f>Table9[[#This Row],[unnorm_x]]/$A$144</f>
        <v>0.12786632532276271</v>
      </c>
      <c r="C20" t="s">
        <v>85</v>
      </c>
      <c r="D20">
        <f>Table9[[#This Row],[X]]-B19</f>
        <v>5.6707132435929314E-3</v>
      </c>
    </row>
    <row r="21" spans="1:4" x14ac:dyDescent="0.2">
      <c r="A21">
        <v>51</v>
      </c>
      <c r="B21">
        <f>Table9[[#This Row],[unnorm_x]]/$A$144</f>
        <v>0.14039144438021306</v>
      </c>
      <c r="C21" t="s">
        <v>91</v>
      </c>
      <c r="D21">
        <f>Table9[[#This Row],[X]]-B20</f>
        <v>1.2525119057450351E-2</v>
      </c>
    </row>
    <row r="22" spans="1:4" x14ac:dyDescent="0.2">
      <c r="A22">
        <v>53.22</v>
      </c>
      <c r="B22">
        <f>Table9[[#This Row],[unnorm_x]]/$A$144</f>
        <v>0.14650260137088117</v>
      </c>
      <c r="C22" t="s">
        <v>85</v>
      </c>
      <c r="D22">
        <f>Table9[[#This Row],[X]]-B21</f>
        <v>6.1111569906681096E-3</v>
      </c>
    </row>
    <row r="23" spans="1:4" x14ac:dyDescent="0.2">
      <c r="A23">
        <v>54.79</v>
      </c>
      <c r="B23">
        <f>Table9[[#This Row],[unnorm_x]]/$A$144</f>
        <v>0.15082445563905636</v>
      </c>
      <c r="C23" t="s">
        <v>84</v>
      </c>
      <c r="D23">
        <f>Table9[[#This Row],[X]]-B22</f>
        <v>4.3218542681751904E-3</v>
      </c>
    </row>
    <row r="24" spans="1:4" x14ac:dyDescent="0.2">
      <c r="A24">
        <v>56.15</v>
      </c>
      <c r="B24">
        <f>Table9[[#This Row],[unnorm_x]]/$A$144</f>
        <v>0.15456822748919538</v>
      </c>
      <c r="C24" t="s">
        <v>83</v>
      </c>
      <c r="D24">
        <f>Table9[[#This Row],[X]]-B23</f>
        <v>3.7437718501390216E-3</v>
      </c>
    </row>
    <row r="25" spans="1:4" x14ac:dyDescent="0.2">
      <c r="A25">
        <v>60.7</v>
      </c>
      <c r="B25">
        <f>Table9[[#This Row],[unnorm_x]]/$A$144</f>
        <v>0.16709334654664576</v>
      </c>
      <c r="C25" t="s">
        <v>87</v>
      </c>
      <c r="D25">
        <f>Table9[[#This Row],[X]]-B24</f>
        <v>1.2525119057450379E-2</v>
      </c>
    </row>
    <row r="26" spans="1:4" x14ac:dyDescent="0.2">
      <c r="A26">
        <v>62.33</v>
      </c>
      <c r="B26">
        <f>Table9[[#This Row],[unnorm_x]]/$A$144</f>
        <v>0.17158036721997413</v>
      </c>
      <c r="C26" t="s">
        <v>83</v>
      </c>
      <c r="D26">
        <f>Table9[[#This Row],[X]]-B25</f>
        <v>4.4870206733283735E-3</v>
      </c>
    </row>
    <row r="27" spans="1:4" x14ac:dyDescent="0.2">
      <c r="A27">
        <v>63.9</v>
      </c>
      <c r="B27">
        <f>Table9[[#This Row],[unnorm_x]]/$A$144</f>
        <v>0.17590222148814932</v>
      </c>
      <c r="C27" t="s">
        <v>84</v>
      </c>
      <c r="D27">
        <f>Table9[[#This Row],[X]]-B26</f>
        <v>4.3218542681751904E-3</v>
      </c>
    </row>
    <row r="28" spans="1:4" x14ac:dyDescent="0.2">
      <c r="A28">
        <v>65.900000000000006</v>
      </c>
      <c r="B28">
        <f>Table9[[#This Row],[unnorm_x]]/$A$144</f>
        <v>0.18140776832658906</v>
      </c>
      <c r="C28" t="s">
        <v>85</v>
      </c>
      <c r="D28">
        <f>Table9[[#This Row],[X]]-B27</f>
        <v>5.5055468384397344E-3</v>
      </c>
    </row>
    <row r="29" spans="1:4" x14ac:dyDescent="0.2">
      <c r="A29">
        <v>72.14</v>
      </c>
      <c r="B29">
        <f>Table9[[#This Row],[unnorm_x]]/$A$144</f>
        <v>0.19858507446252099</v>
      </c>
      <c r="C29" t="s">
        <v>86</v>
      </c>
      <c r="D29">
        <f>Table9[[#This Row],[X]]-B28</f>
        <v>1.7177306135931936E-2</v>
      </c>
    </row>
    <row r="30" spans="1:4" x14ac:dyDescent="0.2">
      <c r="A30">
        <v>73.930000000000007</v>
      </c>
      <c r="B30">
        <f>Table9[[#This Row],[unnorm_x]]/$A$144</f>
        <v>0.20351253888292459</v>
      </c>
      <c r="C30" t="s">
        <v>85</v>
      </c>
      <c r="D30">
        <f>Table9[[#This Row],[X]]-B29</f>
        <v>4.9274644204035933E-3</v>
      </c>
    </row>
    <row r="31" spans="1:4" x14ac:dyDescent="0.2">
      <c r="A31">
        <v>75.61</v>
      </c>
      <c r="B31">
        <f>Table9[[#This Row],[unnorm_x]]/$A$144</f>
        <v>0.20813719822721394</v>
      </c>
      <c r="C31" t="s">
        <v>84</v>
      </c>
      <c r="D31">
        <f>Table9[[#This Row],[X]]-B30</f>
        <v>4.6246593442893502E-3</v>
      </c>
    </row>
    <row r="32" spans="1:4" x14ac:dyDescent="0.2">
      <c r="A32">
        <v>77.12</v>
      </c>
      <c r="B32">
        <f>Table9[[#This Row],[unnorm_x]]/$A$144</f>
        <v>0.21229388609023594</v>
      </c>
      <c r="C32" t="s">
        <v>83</v>
      </c>
      <c r="D32">
        <f>Table9[[#This Row],[X]]-B31</f>
        <v>4.1566878630220072E-3</v>
      </c>
    </row>
    <row r="33" spans="1:4" x14ac:dyDescent="0.2">
      <c r="A33">
        <v>81.84</v>
      </c>
      <c r="B33">
        <f>Table9[[#This Row],[unnorm_x]]/$A$144</f>
        <v>0.22528697662895369</v>
      </c>
      <c r="C33" t="s">
        <v>92</v>
      </c>
      <c r="D33">
        <f>Table9[[#This Row],[X]]-B32</f>
        <v>1.299309053871775E-2</v>
      </c>
    </row>
    <row r="34" spans="1:4" x14ac:dyDescent="0.2">
      <c r="A34">
        <v>83.46</v>
      </c>
      <c r="B34">
        <f>Table9[[#This Row],[unnorm_x]]/$A$144</f>
        <v>0.22974646956808983</v>
      </c>
      <c r="C34" t="s">
        <v>83</v>
      </c>
      <c r="D34">
        <f>Table9[[#This Row],[X]]-B33</f>
        <v>4.4594929391361393E-3</v>
      </c>
    </row>
    <row r="35" spans="1:4" x14ac:dyDescent="0.2">
      <c r="A35">
        <v>85.1</v>
      </c>
      <c r="B35">
        <f>Table9[[#This Row],[unnorm_x]]/$A$144</f>
        <v>0.23426101797561041</v>
      </c>
      <c r="C35" t="s">
        <v>84</v>
      </c>
      <c r="D35">
        <f>Table9[[#This Row],[X]]-B34</f>
        <v>4.51454840752058E-3</v>
      </c>
    </row>
    <row r="36" spans="1:4" x14ac:dyDescent="0.2">
      <c r="A36">
        <v>87.01</v>
      </c>
      <c r="B36">
        <f>Table9[[#This Row],[unnorm_x]]/$A$144</f>
        <v>0.2395188152063204</v>
      </c>
      <c r="C36" t="s">
        <v>85</v>
      </c>
      <c r="D36">
        <f>Table9[[#This Row],[X]]-B35</f>
        <v>5.2577972307099874E-3</v>
      </c>
    </row>
    <row r="37" spans="1:4" x14ac:dyDescent="0.2">
      <c r="A37">
        <v>91.91</v>
      </c>
      <c r="B37">
        <f>Table9[[#This Row],[unnorm_x]]/$A$144</f>
        <v>0.25300740496049773</v>
      </c>
      <c r="C37" t="s">
        <v>87</v>
      </c>
      <c r="D37">
        <f>Table9[[#This Row],[X]]-B36</f>
        <v>1.3488589754177327E-2</v>
      </c>
    </row>
    <row r="38" spans="1:4" x14ac:dyDescent="0.2">
      <c r="A38">
        <v>93.77</v>
      </c>
      <c r="B38">
        <f>Table9[[#This Row],[unnorm_x]]/$A$144</f>
        <v>0.25812756352024663</v>
      </c>
      <c r="C38" t="s">
        <v>85</v>
      </c>
      <c r="D38">
        <f>Table9[[#This Row],[X]]-B37</f>
        <v>5.1201585597488997E-3</v>
      </c>
    </row>
    <row r="39" spans="1:4" x14ac:dyDescent="0.2">
      <c r="A39">
        <v>95.45</v>
      </c>
      <c r="B39">
        <f>Table9[[#This Row],[unnorm_x]]/$A$144</f>
        <v>0.26275222286453603</v>
      </c>
      <c r="C39" t="s">
        <v>84</v>
      </c>
      <c r="D39">
        <f>Table9[[#This Row],[X]]-B38</f>
        <v>4.6246593442894057E-3</v>
      </c>
    </row>
    <row r="40" spans="1:4" x14ac:dyDescent="0.2">
      <c r="A40">
        <v>96.73</v>
      </c>
      <c r="B40">
        <f>Table9[[#This Row],[unnorm_x]]/$A$144</f>
        <v>0.26627577284113746</v>
      </c>
      <c r="C40" t="s">
        <v>83</v>
      </c>
      <c r="D40">
        <f>Table9[[#This Row],[X]]-B39</f>
        <v>3.5235499766014255E-3</v>
      </c>
    </row>
    <row r="41" spans="1:4" x14ac:dyDescent="0.2">
      <c r="A41">
        <v>103.11</v>
      </c>
      <c r="B41">
        <f>Table9[[#This Row],[unnorm_x]]/$A$144</f>
        <v>0.28383846725576017</v>
      </c>
      <c r="C41" t="s">
        <v>86</v>
      </c>
      <c r="D41">
        <f>Table9[[#This Row],[X]]-B40</f>
        <v>1.7562694414622715E-2</v>
      </c>
    </row>
    <row r="42" spans="1:4" x14ac:dyDescent="0.2">
      <c r="A42">
        <v>104.7</v>
      </c>
      <c r="B42">
        <f>Table9[[#This Row],[unnorm_x]]/$A$144</f>
        <v>0.28821537699231981</v>
      </c>
      <c r="C42" t="s">
        <v>83</v>
      </c>
      <c r="D42">
        <f>Table9[[#This Row],[X]]-B41</f>
        <v>4.376909736559631E-3</v>
      </c>
    </row>
    <row r="43" spans="1:4" x14ac:dyDescent="0.2">
      <c r="A43">
        <v>106.22</v>
      </c>
      <c r="B43">
        <f>Table9[[#This Row],[unnorm_x]]/$A$144</f>
        <v>0.29239959258953396</v>
      </c>
      <c r="C43" t="s">
        <v>84</v>
      </c>
      <c r="D43">
        <f>Table9[[#This Row],[X]]-B42</f>
        <v>4.1842155972141581E-3</v>
      </c>
    </row>
    <row r="44" spans="1:4" x14ac:dyDescent="0.2">
      <c r="A44">
        <v>108.12</v>
      </c>
      <c r="B44">
        <f>Table9[[#This Row],[unnorm_x]]/$A$144</f>
        <v>0.29762986208605174</v>
      </c>
      <c r="C44" t="s">
        <v>85</v>
      </c>
      <c r="D44">
        <f>Table9[[#This Row],[X]]-B43</f>
        <v>5.2302694965177809E-3</v>
      </c>
    </row>
    <row r="45" spans="1:4" x14ac:dyDescent="0.2">
      <c r="A45">
        <v>112.86</v>
      </c>
      <c r="B45">
        <f>Table9[[#This Row],[unnorm_x]]/$A$144</f>
        <v>0.31067800809315388</v>
      </c>
      <c r="C45" t="s">
        <v>93</v>
      </c>
      <c r="D45">
        <f>Table9[[#This Row],[X]]-B44</f>
        <v>1.3048146007102135E-2</v>
      </c>
    </row>
    <row r="46" spans="1:4" x14ac:dyDescent="0.2">
      <c r="A46">
        <v>114.85</v>
      </c>
      <c r="B46">
        <f>Table9[[#This Row],[unnorm_x]]/$A$144</f>
        <v>0.31615602719740138</v>
      </c>
      <c r="C46" t="s">
        <v>85</v>
      </c>
      <c r="D46">
        <f>Table9[[#This Row],[X]]-B45</f>
        <v>5.4780191042475002E-3</v>
      </c>
    </row>
    <row r="47" spans="1:4" x14ac:dyDescent="0.2">
      <c r="A47">
        <v>116.4</v>
      </c>
      <c r="B47">
        <f>Table9[[#This Row],[unnorm_x]]/$A$144</f>
        <v>0.32042282599719218</v>
      </c>
      <c r="C47" t="s">
        <v>84</v>
      </c>
      <c r="D47">
        <f>Table9[[#This Row],[X]]-B46</f>
        <v>4.2667987997908052E-3</v>
      </c>
    </row>
    <row r="48" spans="1:4" x14ac:dyDescent="0.2">
      <c r="A48">
        <v>117.92</v>
      </c>
      <c r="B48">
        <f>Table9[[#This Row],[unnorm_x]]/$A$144</f>
        <v>0.3246070415944064</v>
      </c>
      <c r="C48" t="s">
        <v>83</v>
      </c>
      <c r="D48">
        <f>Table9[[#This Row],[X]]-B47</f>
        <v>4.1842155972142137E-3</v>
      </c>
    </row>
    <row r="49" spans="1:4" x14ac:dyDescent="0.2">
      <c r="A49">
        <v>122.66</v>
      </c>
      <c r="B49">
        <f>Table9[[#This Row],[unnorm_x]]/$A$144</f>
        <v>0.33765518760150853</v>
      </c>
      <c r="C49" t="s">
        <v>87</v>
      </c>
      <c r="D49">
        <f>Table9[[#This Row],[X]]-B48</f>
        <v>1.3048146007102135E-2</v>
      </c>
    </row>
    <row r="50" spans="1:4" x14ac:dyDescent="0.2">
      <c r="A50">
        <v>123.94</v>
      </c>
      <c r="B50">
        <f>Table9[[#This Row],[unnorm_x]]/$A$144</f>
        <v>0.34117873757810996</v>
      </c>
      <c r="C50" t="s">
        <v>83</v>
      </c>
      <c r="D50">
        <f>Table9[[#This Row],[X]]-B49</f>
        <v>3.5235499766014255E-3</v>
      </c>
    </row>
    <row r="51" spans="1:4" x14ac:dyDescent="0.2">
      <c r="A51">
        <v>125.38</v>
      </c>
      <c r="B51">
        <f>Table9[[#This Row],[unnorm_x]]/$A$144</f>
        <v>0.34514273130178658</v>
      </c>
      <c r="C51" t="s">
        <v>84</v>
      </c>
      <c r="D51">
        <f>Table9[[#This Row],[X]]-B50</f>
        <v>3.9639937236766176E-3</v>
      </c>
    </row>
    <row r="52" spans="1:4" x14ac:dyDescent="0.2">
      <c r="A52">
        <v>127.48</v>
      </c>
      <c r="B52">
        <f>Table9[[#This Row],[unnorm_x]]/$A$144</f>
        <v>0.35092355548214832</v>
      </c>
      <c r="C52" t="s">
        <v>85</v>
      </c>
      <c r="D52">
        <f>Table9[[#This Row],[X]]-B51</f>
        <v>5.7808241803617433E-3</v>
      </c>
    </row>
    <row r="53" spans="1:4" x14ac:dyDescent="0.2">
      <c r="A53">
        <v>134.09</v>
      </c>
      <c r="B53">
        <f>Table9[[#This Row],[unnorm_x]]/$A$144</f>
        <v>0.36911938778319159</v>
      </c>
      <c r="C53" t="s">
        <v>86</v>
      </c>
      <c r="D53">
        <f>Table9[[#This Row],[X]]-B52</f>
        <v>1.8195832301043269E-2</v>
      </c>
    </row>
    <row r="54" spans="1:4" x14ac:dyDescent="0.2">
      <c r="A54">
        <v>135.84</v>
      </c>
      <c r="B54">
        <f>Table9[[#This Row],[unnorm_x]]/$A$144</f>
        <v>0.37393674126682636</v>
      </c>
      <c r="C54" t="s">
        <v>85</v>
      </c>
      <c r="D54">
        <f>Table9[[#This Row],[X]]-B53</f>
        <v>4.8173534836347676E-3</v>
      </c>
    </row>
    <row r="55" spans="1:4" x14ac:dyDescent="0.2">
      <c r="A55">
        <v>137.47</v>
      </c>
      <c r="B55">
        <f>Table9[[#This Row],[unnorm_x]]/$A$144</f>
        <v>0.3784237619401547</v>
      </c>
      <c r="C55" t="s">
        <v>84</v>
      </c>
      <c r="D55">
        <f>Table9[[#This Row],[X]]-B54</f>
        <v>4.4870206733283458E-3</v>
      </c>
    </row>
    <row r="56" spans="1:4" x14ac:dyDescent="0.2">
      <c r="A56">
        <v>138.94999999999999</v>
      </c>
      <c r="B56">
        <f>Table9[[#This Row],[unnorm_x]]/$A$144</f>
        <v>0.38249786660060009</v>
      </c>
      <c r="C56" t="s">
        <v>83</v>
      </c>
      <c r="D56">
        <f>Table9[[#This Row],[X]]-B55</f>
        <v>4.0741046604453879E-3</v>
      </c>
    </row>
    <row r="57" spans="1:4" x14ac:dyDescent="0.2">
      <c r="A57">
        <v>143.54</v>
      </c>
      <c r="B57">
        <f>Table9[[#This Row],[unnorm_x]]/$A$144</f>
        <v>0.39513309659481927</v>
      </c>
      <c r="C57" t="s">
        <v>94</v>
      </c>
      <c r="D57">
        <f>Table9[[#This Row],[X]]-B56</f>
        <v>1.2635229994219177E-2</v>
      </c>
    </row>
    <row r="58" spans="1:4" x14ac:dyDescent="0.2">
      <c r="A58">
        <v>144.94</v>
      </c>
      <c r="B58">
        <f>Table9[[#This Row],[unnorm_x]]/$A$144</f>
        <v>0.39898697938172711</v>
      </c>
      <c r="C58" t="s">
        <v>83</v>
      </c>
      <c r="D58">
        <f>Table9[[#This Row],[X]]-B57</f>
        <v>3.8538827869078474E-3</v>
      </c>
    </row>
    <row r="59" spans="1:4" x14ac:dyDescent="0.2">
      <c r="A59">
        <v>146.49</v>
      </c>
      <c r="B59">
        <f>Table9[[#This Row],[unnorm_x]]/$A$144</f>
        <v>0.40325377818151792</v>
      </c>
      <c r="C59" t="s">
        <v>84</v>
      </c>
      <c r="D59">
        <f>Table9[[#This Row],[X]]-B58</f>
        <v>4.2667987997908052E-3</v>
      </c>
    </row>
    <row r="60" spans="1:4" x14ac:dyDescent="0.2">
      <c r="A60">
        <v>148.55000000000001</v>
      </c>
      <c r="B60">
        <f>Table9[[#This Row],[unnorm_x]]/$A$144</f>
        <v>0.40892449142511084</v>
      </c>
      <c r="C60" t="s">
        <v>85</v>
      </c>
      <c r="D60">
        <f>Table9[[#This Row],[X]]-B59</f>
        <v>5.6707132435929175E-3</v>
      </c>
    </row>
    <row r="61" spans="1:4" x14ac:dyDescent="0.2">
      <c r="A61">
        <v>153.34</v>
      </c>
      <c r="B61">
        <f>Table9[[#This Row],[unnorm_x]]/$A$144</f>
        <v>0.42211027610317398</v>
      </c>
      <c r="C61" t="s">
        <v>87</v>
      </c>
      <c r="D61">
        <f>Table9[[#This Row],[X]]-B60</f>
        <v>1.3185784678063139E-2</v>
      </c>
    </row>
    <row r="62" spans="1:4" x14ac:dyDescent="0.2">
      <c r="A62">
        <v>155.44</v>
      </c>
      <c r="B62">
        <f>Table9[[#This Row],[unnorm_x]]/$A$144</f>
        <v>0.42789110028353566</v>
      </c>
      <c r="C62" t="s">
        <v>85</v>
      </c>
      <c r="D62">
        <f>Table9[[#This Row],[X]]-B61</f>
        <v>5.7808241803616878E-3</v>
      </c>
    </row>
    <row r="63" spans="1:4" x14ac:dyDescent="0.2">
      <c r="A63">
        <v>156.74</v>
      </c>
      <c r="B63">
        <f>Table9[[#This Row],[unnorm_x]]/$A$144</f>
        <v>0.43146970572852156</v>
      </c>
      <c r="C63" t="s">
        <v>84</v>
      </c>
      <c r="D63">
        <f>Table9[[#This Row],[X]]-B62</f>
        <v>3.5786054449858939E-3</v>
      </c>
    </row>
    <row r="64" spans="1:4" x14ac:dyDescent="0.2">
      <c r="A64">
        <v>158.18</v>
      </c>
      <c r="B64">
        <f>Table9[[#This Row],[unnorm_x]]/$A$144</f>
        <v>0.43543369945219812</v>
      </c>
      <c r="C64" t="s">
        <v>83</v>
      </c>
      <c r="D64">
        <f>Table9[[#This Row],[X]]-B63</f>
        <v>3.9639937236765621E-3</v>
      </c>
    </row>
    <row r="65" spans="1:4" x14ac:dyDescent="0.2">
      <c r="A65">
        <v>164.76</v>
      </c>
      <c r="B65">
        <f>Table9[[#This Row],[unnorm_x]]/$A$144</f>
        <v>0.4535469485506648</v>
      </c>
      <c r="C65" t="s">
        <v>86</v>
      </c>
      <c r="D65">
        <f>Table9[[#This Row],[X]]-B64</f>
        <v>1.8113249098466677E-2</v>
      </c>
    </row>
    <row r="66" spans="1:4" x14ac:dyDescent="0.2">
      <c r="A66">
        <v>166.08</v>
      </c>
      <c r="B66">
        <f>Table9[[#This Row],[unnorm_x]]/$A$144</f>
        <v>0.45718060946403505</v>
      </c>
      <c r="C66" t="s">
        <v>83</v>
      </c>
      <c r="D66">
        <f>Table9[[#This Row],[X]]-B65</f>
        <v>3.6336609133702513E-3</v>
      </c>
    </row>
    <row r="67" spans="1:4" x14ac:dyDescent="0.2">
      <c r="A67">
        <v>167.65</v>
      </c>
      <c r="B67">
        <f>Table9[[#This Row],[unnorm_x]]/$A$144</f>
        <v>0.46150246373221027</v>
      </c>
      <c r="C67" t="s">
        <v>84</v>
      </c>
      <c r="D67">
        <f>Table9[[#This Row],[X]]-B66</f>
        <v>4.3218542681752181E-3</v>
      </c>
    </row>
    <row r="68" spans="1:4" x14ac:dyDescent="0.2">
      <c r="A68">
        <v>169.58</v>
      </c>
      <c r="B68">
        <f>Table9[[#This Row],[unnorm_x]]/$A$144</f>
        <v>0.46681531643130458</v>
      </c>
      <c r="C68" t="s">
        <v>85</v>
      </c>
      <c r="D68">
        <f>Table9[[#This Row],[X]]-B67</f>
        <v>5.312852699094317E-3</v>
      </c>
    </row>
    <row r="69" spans="1:4" x14ac:dyDescent="0.2">
      <c r="A69">
        <v>174.44</v>
      </c>
      <c r="B69">
        <f>Table9[[#This Row],[unnorm_x]]/$A$144</f>
        <v>0.48019379524871308</v>
      </c>
      <c r="C69" t="s">
        <v>95</v>
      </c>
      <c r="D69">
        <f>Table9[[#This Row],[X]]-B68</f>
        <v>1.3378478817408501E-2</v>
      </c>
    </row>
    <row r="70" spans="1:4" x14ac:dyDescent="0.2">
      <c r="A70">
        <v>176.25</v>
      </c>
      <c r="B70">
        <f>Table9[[#This Row],[unnorm_x]]/$A$144</f>
        <v>0.48517631513750104</v>
      </c>
      <c r="C70" t="s">
        <v>85</v>
      </c>
      <c r="D70">
        <f>Table9[[#This Row],[X]]-B69</f>
        <v>4.9825198887879507E-3</v>
      </c>
    </row>
    <row r="71" spans="1:4" x14ac:dyDescent="0.2">
      <c r="A71">
        <v>177.94</v>
      </c>
      <c r="B71">
        <f>Table9[[#This Row],[unnorm_x]]/$A$144</f>
        <v>0.48982850221598262</v>
      </c>
      <c r="C71" t="s">
        <v>84</v>
      </c>
      <c r="D71">
        <f>Table9[[#This Row],[X]]-B70</f>
        <v>4.6521870784815844E-3</v>
      </c>
    </row>
    <row r="72" spans="1:4" x14ac:dyDescent="0.2">
      <c r="A72">
        <v>179.26</v>
      </c>
      <c r="B72">
        <f>Table9[[#This Row],[unnorm_x]]/$A$144</f>
        <v>0.49346216312935282</v>
      </c>
      <c r="C72" t="s">
        <v>83</v>
      </c>
      <c r="D72">
        <f>Table9[[#This Row],[X]]-B71</f>
        <v>3.6336609133701958E-3</v>
      </c>
    </row>
    <row r="73" spans="1:4" x14ac:dyDescent="0.2">
      <c r="A73">
        <v>184.03</v>
      </c>
      <c r="B73">
        <f>Table9[[#This Row],[unnorm_x]]/$A$144</f>
        <v>0.5065928923390316</v>
      </c>
      <c r="C73" t="s">
        <v>87</v>
      </c>
      <c r="D73">
        <f>Table9[[#This Row],[X]]-B72</f>
        <v>1.3130729209678782E-2</v>
      </c>
    </row>
    <row r="74" spans="1:4" x14ac:dyDescent="0.2">
      <c r="A74">
        <v>185.51</v>
      </c>
      <c r="B74">
        <f>Table9[[#This Row],[unnorm_x]]/$A$144</f>
        <v>0.51066699699947693</v>
      </c>
      <c r="C74" t="s">
        <v>83</v>
      </c>
      <c r="D74">
        <f>Table9[[#This Row],[X]]-B73</f>
        <v>4.0741046604453324E-3</v>
      </c>
    </row>
    <row r="75" spans="1:4" x14ac:dyDescent="0.2">
      <c r="A75">
        <v>187.12</v>
      </c>
      <c r="B75">
        <f>Table9[[#This Row],[unnorm_x]]/$A$144</f>
        <v>0.51509896220442097</v>
      </c>
      <c r="C75" t="s">
        <v>84</v>
      </c>
      <c r="D75">
        <f>Table9[[#This Row],[X]]-B74</f>
        <v>4.4319652049440439E-3</v>
      </c>
    </row>
    <row r="76" spans="1:4" x14ac:dyDescent="0.2">
      <c r="A76">
        <v>189.01</v>
      </c>
      <c r="B76">
        <f>Table9[[#This Row],[unnorm_x]]/$A$144</f>
        <v>0.52030170396674646</v>
      </c>
      <c r="C76" t="s">
        <v>85</v>
      </c>
      <c r="D76">
        <f>Table9[[#This Row],[X]]-B75</f>
        <v>5.2027417623254912E-3</v>
      </c>
    </row>
    <row r="77" spans="1:4" x14ac:dyDescent="0.2">
      <c r="A77">
        <v>195.35</v>
      </c>
      <c r="B77">
        <f>Table9[[#This Row],[unnorm_x]]/$A$144</f>
        <v>0.53775428744460041</v>
      </c>
      <c r="C77" t="s">
        <v>86</v>
      </c>
      <c r="D77">
        <f>Table9[[#This Row],[X]]-B76</f>
        <v>1.7452583477853945E-2</v>
      </c>
    </row>
    <row r="78" spans="1:4" x14ac:dyDescent="0.2">
      <c r="A78">
        <v>197.21</v>
      </c>
      <c r="B78">
        <f>Table9[[#This Row],[unnorm_x]]/$A$144</f>
        <v>0.54287444600434942</v>
      </c>
      <c r="C78" t="s">
        <v>85</v>
      </c>
      <c r="D78">
        <f>Table9[[#This Row],[X]]-B77</f>
        <v>5.1201585597490107E-3</v>
      </c>
    </row>
    <row r="79" spans="1:4" x14ac:dyDescent="0.2">
      <c r="A79">
        <v>198.81</v>
      </c>
      <c r="B79">
        <f>Table9[[#This Row],[unnorm_x]]/$A$144</f>
        <v>0.54727888347510123</v>
      </c>
      <c r="C79" t="s">
        <v>84</v>
      </c>
      <c r="D79">
        <f>Table9[[#This Row],[X]]-B78</f>
        <v>4.4044374707518097E-3</v>
      </c>
    </row>
    <row r="80" spans="1:4" x14ac:dyDescent="0.2">
      <c r="A80">
        <v>200.17</v>
      </c>
      <c r="B80">
        <f>Table9[[#This Row],[unnorm_x]]/$A$144</f>
        <v>0.5510226553252402</v>
      </c>
      <c r="C80" t="s">
        <v>83</v>
      </c>
      <c r="D80">
        <f>Table9[[#This Row],[X]]-B79</f>
        <v>3.7437718501389661E-3</v>
      </c>
    </row>
    <row r="81" spans="1:4" x14ac:dyDescent="0.2">
      <c r="A81">
        <v>204.91</v>
      </c>
      <c r="B81">
        <f>Table9[[#This Row],[unnorm_x]]/$A$144</f>
        <v>0.56407080133234233</v>
      </c>
      <c r="C81" t="s">
        <v>96</v>
      </c>
      <c r="D81">
        <f>Table9[[#This Row],[X]]-B80</f>
        <v>1.3048146007102135E-2</v>
      </c>
    </row>
    <row r="82" spans="1:4" x14ac:dyDescent="0.2">
      <c r="A82">
        <v>206.39</v>
      </c>
      <c r="B82">
        <f>Table9[[#This Row],[unnorm_x]]/$A$144</f>
        <v>0.56814490599278777</v>
      </c>
      <c r="C82" t="s">
        <v>83</v>
      </c>
      <c r="D82">
        <f>Table9[[#This Row],[X]]-B81</f>
        <v>4.0741046604454434E-3</v>
      </c>
    </row>
    <row r="83" spans="1:4" x14ac:dyDescent="0.2">
      <c r="A83">
        <v>207.83</v>
      </c>
      <c r="B83">
        <f>Table9[[#This Row],[unnorm_x]]/$A$144</f>
        <v>0.57210889971646439</v>
      </c>
      <c r="C83" t="s">
        <v>84</v>
      </c>
      <c r="D83">
        <f>Table9[[#This Row],[X]]-B82</f>
        <v>3.9639937236766176E-3</v>
      </c>
    </row>
    <row r="84" spans="1:4" x14ac:dyDescent="0.2">
      <c r="A84">
        <v>209.93</v>
      </c>
      <c r="B84">
        <f>Table9[[#This Row],[unnorm_x]]/$A$144</f>
        <v>0.57788972389682614</v>
      </c>
      <c r="C84" t="s">
        <v>85</v>
      </c>
      <c r="D84">
        <f>Table9[[#This Row],[X]]-B83</f>
        <v>5.7808241803617433E-3</v>
      </c>
    </row>
    <row r="85" spans="1:4" x14ac:dyDescent="0.2">
      <c r="A85">
        <v>214.75</v>
      </c>
      <c r="B85">
        <f>Table9[[#This Row],[unnorm_x]]/$A$144</f>
        <v>0.59115809177746581</v>
      </c>
      <c r="C85" t="s">
        <v>87</v>
      </c>
      <c r="D85">
        <f>Table9[[#This Row],[X]]-B84</f>
        <v>1.3268367880639675E-2</v>
      </c>
    </row>
    <row r="86" spans="1:4" x14ac:dyDescent="0.2">
      <c r="A86">
        <v>216.52</v>
      </c>
      <c r="B86">
        <f>Table9[[#This Row],[unnorm_x]]/$A$144</f>
        <v>0.59603050072948505</v>
      </c>
      <c r="C86" t="s">
        <v>85</v>
      </c>
      <c r="D86">
        <f>Table9[[#This Row],[X]]-B85</f>
        <v>4.872408952019236E-3</v>
      </c>
    </row>
    <row r="87" spans="1:4" x14ac:dyDescent="0.2">
      <c r="A87">
        <v>218.08</v>
      </c>
      <c r="B87">
        <f>Table9[[#This Row],[unnorm_x]]/$A$144</f>
        <v>0.60032482726346803</v>
      </c>
      <c r="C87" t="s">
        <v>84</v>
      </c>
      <c r="D87">
        <f>Table9[[#This Row],[X]]-B86</f>
        <v>4.2943265339829839E-3</v>
      </c>
    </row>
    <row r="88" spans="1:4" x14ac:dyDescent="0.2">
      <c r="A88">
        <v>219.52</v>
      </c>
      <c r="B88">
        <f>Table9[[#This Row],[unnorm_x]]/$A$144</f>
        <v>0.60428882098714465</v>
      </c>
      <c r="C88" t="s">
        <v>83</v>
      </c>
      <c r="D88">
        <f>Table9[[#This Row],[X]]-B87</f>
        <v>3.9639937236766176E-3</v>
      </c>
    </row>
    <row r="89" spans="1:4" x14ac:dyDescent="0.2">
      <c r="A89">
        <v>226.03</v>
      </c>
      <c r="B89">
        <f>Table9[[#This Row],[unnorm_x]]/$A$144</f>
        <v>0.62220937594626591</v>
      </c>
      <c r="C89" t="s">
        <v>86</v>
      </c>
      <c r="D89">
        <f>Table9[[#This Row],[X]]-B88</f>
        <v>1.792055495912126E-2</v>
      </c>
    </row>
    <row r="90" spans="1:4" x14ac:dyDescent="0.2">
      <c r="A90">
        <v>227.38</v>
      </c>
      <c r="B90">
        <f>Table9[[#This Row],[unnorm_x]]/$A$144</f>
        <v>0.62592562006221275</v>
      </c>
      <c r="C90" t="s">
        <v>83</v>
      </c>
      <c r="D90">
        <f>Table9[[#This Row],[X]]-B89</f>
        <v>3.7162441159468429E-3</v>
      </c>
    </row>
    <row r="91" spans="1:4" x14ac:dyDescent="0.2">
      <c r="A91">
        <v>228.99</v>
      </c>
      <c r="B91">
        <f>Table9[[#This Row],[unnorm_x]]/$A$144</f>
        <v>0.63035758526715668</v>
      </c>
      <c r="C91" t="s">
        <v>84</v>
      </c>
      <c r="D91">
        <f>Table9[[#This Row],[X]]-B90</f>
        <v>4.4319652049439329E-3</v>
      </c>
    </row>
    <row r="92" spans="1:4" x14ac:dyDescent="0.2">
      <c r="A92">
        <v>230.84</v>
      </c>
      <c r="B92">
        <f>Table9[[#This Row],[unnorm_x]]/$A$144</f>
        <v>0.63545021609271346</v>
      </c>
      <c r="C92" t="s">
        <v>85</v>
      </c>
      <c r="D92">
        <f>Table9[[#This Row],[X]]-B91</f>
        <v>5.0926308255567765E-3</v>
      </c>
    </row>
    <row r="93" spans="1:4" x14ac:dyDescent="0.2">
      <c r="A93">
        <v>235.68</v>
      </c>
      <c r="B93">
        <f>Table9[[#This Row],[unnorm_x]]/$A$144</f>
        <v>0.6487736394417376</v>
      </c>
      <c r="C93" t="s">
        <v>96</v>
      </c>
      <c r="D93">
        <f>Table9[[#This Row],[X]]-B92</f>
        <v>1.3323423349024144E-2</v>
      </c>
    </row>
    <row r="94" spans="1:4" x14ac:dyDescent="0.2">
      <c r="A94">
        <v>237.64</v>
      </c>
      <c r="B94">
        <f>Table9[[#This Row],[unnorm_x]]/$A$144</f>
        <v>0.65416907534340851</v>
      </c>
      <c r="C94" t="s">
        <v>85</v>
      </c>
      <c r="D94">
        <f>Table9[[#This Row],[X]]-B93</f>
        <v>5.3954359016709086E-3</v>
      </c>
    </row>
    <row r="95" spans="1:4" x14ac:dyDescent="0.2">
      <c r="A95">
        <v>239.26</v>
      </c>
      <c r="B95">
        <f>Table9[[#This Row],[unnorm_x]]/$A$144</f>
        <v>0.65862856828254468</v>
      </c>
      <c r="C95" t="s">
        <v>84</v>
      </c>
      <c r="D95">
        <f>Table9[[#This Row],[X]]-B94</f>
        <v>4.4594929391361671E-3</v>
      </c>
    </row>
    <row r="96" spans="1:4" x14ac:dyDescent="0.2">
      <c r="A96">
        <v>240.7</v>
      </c>
      <c r="B96">
        <f>Table9[[#This Row],[unnorm_x]]/$A$144</f>
        <v>0.6625925620062213</v>
      </c>
      <c r="C96" t="s">
        <v>83</v>
      </c>
      <c r="D96">
        <f>Table9[[#This Row],[X]]-B95</f>
        <v>3.9639937236766176E-3</v>
      </c>
    </row>
    <row r="97" spans="1:4" x14ac:dyDescent="0.2">
      <c r="A97">
        <v>245.51</v>
      </c>
      <c r="B97">
        <f>Table9[[#This Row],[unnorm_x]]/$A$144</f>
        <v>0.67583340215266885</v>
      </c>
      <c r="C97" t="s">
        <v>87</v>
      </c>
      <c r="D97">
        <f>Table9[[#This Row],[X]]-B96</f>
        <v>1.3240840146447552E-2</v>
      </c>
    </row>
    <row r="98" spans="1:4" x14ac:dyDescent="0.2">
      <c r="A98">
        <v>246.91</v>
      </c>
      <c r="B98">
        <f>Table9[[#This Row],[unnorm_x]]/$A$144</f>
        <v>0.67968728493957664</v>
      </c>
      <c r="C98" t="s">
        <v>83</v>
      </c>
      <c r="D98">
        <f>Table9[[#This Row],[X]]-B97</f>
        <v>3.8538827869077918E-3</v>
      </c>
    </row>
    <row r="99" spans="1:4" x14ac:dyDescent="0.2">
      <c r="A99">
        <v>248.32</v>
      </c>
      <c r="B99">
        <f>Table9[[#This Row],[unnorm_x]]/$A$144</f>
        <v>0.68356869546067667</v>
      </c>
      <c r="C99" t="s">
        <v>84</v>
      </c>
      <c r="D99">
        <f>Table9[[#This Row],[X]]-B98</f>
        <v>3.881410521100026E-3</v>
      </c>
    </row>
    <row r="100" spans="1:4" x14ac:dyDescent="0.2">
      <c r="A100">
        <v>250.35</v>
      </c>
      <c r="B100">
        <f>Table9[[#This Row],[unnorm_x]]/$A$144</f>
        <v>0.68915682550169299</v>
      </c>
      <c r="C100" t="s">
        <v>85</v>
      </c>
      <c r="D100">
        <f>Table9[[#This Row],[X]]-B99</f>
        <v>5.5881300410163259E-3</v>
      </c>
    </row>
    <row r="101" spans="1:4" x14ac:dyDescent="0.2">
      <c r="A101">
        <v>254.95</v>
      </c>
      <c r="B101">
        <f>Table9[[#This Row],[unnorm_x]]/$A$144</f>
        <v>0.70181958323010429</v>
      </c>
      <c r="C101" t="s">
        <v>93</v>
      </c>
      <c r="D101">
        <f>Table9[[#This Row],[X]]-B100</f>
        <v>1.26627577284113E-2</v>
      </c>
    </row>
    <row r="102" spans="1:4" x14ac:dyDescent="0.2">
      <c r="A102">
        <v>257.08999999999997</v>
      </c>
      <c r="B102">
        <f>Table9[[#This Row],[unnorm_x]]/$A$144</f>
        <v>0.70771051834723475</v>
      </c>
      <c r="C102" t="s">
        <v>85</v>
      </c>
      <c r="D102">
        <f>Table9[[#This Row],[X]]-B101</f>
        <v>5.890935117130458E-3</v>
      </c>
    </row>
    <row r="103" spans="1:4" x14ac:dyDescent="0.2">
      <c r="A103">
        <v>258.63</v>
      </c>
      <c r="B103">
        <f>Table9[[#This Row],[unnorm_x]]/$A$144</f>
        <v>0.71194978941283349</v>
      </c>
      <c r="C103" t="s">
        <v>84</v>
      </c>
      <c r="D103">
        <f>Table9[[#This Row],[X]]-B102</f>
        <v>4.2392710655987376E-3</v>
      </c>
    </row>
    <row r="104" spans="1:4" x14ac:dyDescent="0.2">
      <c r="A104">
        <v>260.04000000000002</v>
      </c>
      <c r="B104">
        <f>Table9[[#This Row],[unnorm_x]]/$A$144</f>
        <v>0.71583119993393352</v>
      </c>
      <c r="C104" t="s">
        <v>83</v>
      </c>
      <c r="D104">
        <f>Table9[[#This Row],[X]]-B103</f>
        <v>3.881410521100026E-3</v>
      </c>
    </row>
    <row r="105" spans="1:4" x14ac:dyDescent="0.2">
      <c r="A105">
        <v>266.47000000000003</v>
      </c>
      <c r="B105">
        <f>Table9[[#This Row],[unnorm_x]]/$A$144</f>
        <v>0.73353153301951723</v>
      </c>
      <c r="C105" t="s">
        <v>86</v>
      </c>
      <c r="D105">
        <f>Table9[[#This Row],[X]]-B104</f>
        <v>1.7700333085583719E-2</v>
      </c>
    </row>
    <row r="106" spans="1:4" x14ac:dyDescent="0.2">
      <c r="A106">
        <v>267.89999999999998</v>
      </c>
      <c r="B106">
        <f>Table9[[#This Row],[unnorm_x]]/$A$144</f>
        <v>0.73746799900900151</v>
      </c>
      <c r="C106" t="s">
        <v>83</v>
      </c>
      <c r="D106">
        <f>Table9[[#This Row],[X]]-B105</f>
        <v>3.9364659894842724E-3</v>
      </c>
    </row>
    <row r="107" spans="1:4" x14ac:dyDescent="0.2">
      <c r="A107">
        <v>269.52999999999997</v>
      </c>
      <c r="B107">
        <f>Table9[[#This Row],[unnorm_x]]/$A$144</f>
        <v>0.74195501968232991</v>
      </c>
      <c r="C107" t="s">
        <v>84</v>
      </c>
      <c r="D107">
        <f>Table9[[#This Row],[X]]-B106</f>
        <v>4.4870206733284013E-3</v>
      </c>
    </row>
    <row r="108" spans="1:4" x14ac:dyDescent="0.2">
      <c r="A108">
        <v>271.33999999999997</v>
      </c>
      <c r="B108">
        <f>Table9[[#This Row],[unnorm_x]]/$A$144</f>
        <v>0.74693753957111786</v>
      </c>
      <c r="C108" t="s">
        <v>85</v>
      </c>
      <c r="D108">
        <f>Table9[[#This Row],[X]]-B107</f>
        <v>4.9825198887879507E-3</v>
      </c>
    </row>
    <row r="109" spans="1:4" x14ac:dyDescent="0.2">
      <c r="A109">
        <v>276.10000000000002</v>
      </c>
      <c r="B109">
        <f>Table9[[#This Row],[unnorm_x]]/$A$144</f>
        <v>0.76004074104660457</v>
      </c>
      <c r="C109" t="s">
        <v>87</v>
      </c>
      <c r="D109">
        <f>Table9[[#This Row],[X]]-B108</f>
        <v>1.3103201475486714E-2</v>
      </c>
    </row>
    <row r="110" spans="1:4" x14ac:dyDescent="0.2">
      <c r="A110">
        <v>278.06</v>
      </c>
      <c r="B110">
        <f>Table9[[#This Row],[unnorm_x]]/$A$144</f>
        <v>0.76543617694827548</v>
      </c>
      <c r="C110" t="s">
        <v>85</v>
      </c>
      <c r="D110">
        <f>Table9[[#This Row],[X]]-B109</f>
        <v>5.3954359016709086E-3</v>
      </c>
    </row>
    <row r="111" spans="1:4" x14ac:dyDescent="0.2">
      <c r="A111">
        <v>279.73</v>
      </c>
      <c r="B111">
        <f>Table9[[#This Row],[unnorm_x]]/$A$144</f>
        <v>0.7700333085583726</v>
      </c>
      <c r="C111" t="s">
        <v>84</v>
      </c>
      <c r="D111">
        <f>Table9[[#This Row],[X]]-B110</f>
        <v>4.597131610097116E-3</v>
      </c>
    </row>
    <row r="112" spans="1:4" x14ac:dyDescent="0.2">
      <c r="A112">
        <v>281.02999999999997</v>
      </c>
      <c r="B112">
        <f>Table9[[#This Row],[unnorm_x]]/$A$144</f>
        <v>0.77361191400335838</v>
      </c>
      <c r="C112" t="s">
        <v>83</v>
      </c>
      <c r="D112">
        <f>Table9[[#This Row],[X]]-B111</f>
        <v>3.5786054449857829E-3</v>
      </c>
    </row>
    <row r="113" spans="1:4" x14ac:dyDescent="0.2">
      <c r="A113">
        <v>285.62</v>
      </c>
      <c r="B113">
        <f>Table9[[#This Row],[unnorm_x]]/$A$144</f>
        <v>0.78624714399757756</v>
      </c>
      <c r="C113" t="s">
        <v>92</v>
      </c>
      <c r="D113">
        <f>Table9[[#This Row],[X]]-B112</f>
        <v>1.2635229994219177E-2</v>
      </c>
    </row>
    <row r="114" spans="1:4" x14ac:dyDescent="0.2">
      <c r="A114">
        <v>287.27</v>
      </c>
      <c r="B114">
        <f>Table9[[#This Row],[unnorm_x]]/$A$144</f>
        <v>0.79078922013929032</v>
      </c>
      <c r="C114" t="s">
        <v>83</v>
      </c>
      <c r="D114">
        <f>Table9[[#This Row],[X]]-B113</f>
        <v>4.5420761417127586E-3</v>
      </c>
    </row>
    <row r="115" spans="1:4" x14ac:dyDescent="0.2">
      <c r="A115">
        <v>288.76</v>
      </c>
      <c r="B115">
        <f>Table9[[#This Row],[unnorm_x]]/$A$144</f>
        <v>0.79489085253392799</v>
      </c>
      <c r="C115" t="s">
        <v>84</v>
      </c>
      <c r="D115">
        <f>Table9[[#This Row],[X]]-B114</f>
        <v>4.1016323946376776E-3</v>
      </c>
    </row>
    <row r="116" spans="1:4" x14ac:dyDescent="0.2">
      <c r="A116">
        <v>290.66000000000003</v>
      </c>
      <c r="B116">
        <f>Table9[[#This Row],[unnorm_x]]/$A$144</f>
        <v>0.80012112203044583</v>
      </c>
      <c r="C116" t="s">
        <v>85</v>
      </c>
      <c r="D116">
        <f>Table9[[#This Row],[X]]-B115</f>
        <v>5.2302694965178365E-3</v>
      </c>
    </row>
    <row r="117" spans="1:4" x14ac:dyDescent="0.2">
      <c r="A117">
        <v>297.12</v>
      </c>
      <c r="B117">
        <f>Table9[[#This Row],[unnorm_x]]/$A$144</f>
        <v>0.81790403831860603</v>
      </c>
      <c r="C117" t="s">
        <v>86</v>
      </c>
      <c r="D117">
        <f>Table9[[#This Row],[X]]-B116</f>
        <v>1.77829162881602E-2</v>
      </c>
    </row>
    <row r="118" spans="1:4" x14ac:dyDescent="0.2">
      <c r="A118">
        <v>298.91000000000003</v>
      </c>
      <c r="B118">
        <f>Table9[[#This Row],[unnorm_x]]/$A$144</f>
        <v>0.82283150273900962</v>
      </c>
      <c r="C118" t="s">
        <v>85</v>
      </c>
      <c r="D118">
        <f>Table9[[#This Row],[X]]-B117</f>
        <v>4.9274644204035933E-3</v>
      </c>
    </row>
    <row r="119" spans="1:4" x14ac:dyDescent="0.2">
      <c r="A119">
        <v>300.67</v>
      </c>
      <c r="B119">
        <f>Table9[[#This Row],[unnorm_x]]/$A$144</f>
        <v>0.82767638395683663</v>
      </c>
      <c r="C119" t="s">
        <v>84</v>
      </c>
      <c r="D119">
        <f>Table9[[#This Row],[X]]-B118</f>
        <v>4.8448812178270018E-3</v>
      </c>
    </row>
    <row r="120" spans="1:4" x14ac:dyDescent="0.2">
      <c r="A120">
        <v>302.10000000000002</v>
      </c>
      <c r="B120">
        <f>Table9[[#This Row],[unnorm_x]]/$A$144</f>
        <v>0.83161284994632101</v>
      </c>
      <c r="C120" t="s">
        <v>83</v>
      </c>
      <c r="D120">
        <f>Table9[[#This Row],[X]]-B119</f>
        <v>3.9364659894843834E-3</v>
      </c>
    </row>
    <row r="121" spans="1:4" x14ac:dyDescent="0.2">
      <c r="A121">
        <v>306.86</v>
      </c>
      <c r="B121">
        <f>Table9[[#This Row],[unnorm_x]]/$A$144</f>
        <v>0.8447160514218075</v>
      </c>
      <c r="C121" t="s">
        <v>87</v>
      </c>
      <c r="D121">
        <f>Table9[[#This Row],[X]]-B120</f>
        <v>1.3103201475486492E-2</v>
      </c>
    </row>
    <row r="122" spans="1:4" x14ac:dyDescent="0.2">
      <c r="A122">
        <v>308.07</v>
      </c>
      <c r="B122">
        <f>Table9[[#This Row],[unnorm_x]]/$A$144</f>
        <v>0.84804690725906351</v>
      </c>
      <c r="C122" t="s">
        <v>83</v>
      </c>
      <c r="D122">
        <f>Table9[[#This Row],[X]]-B121</f>
        <v>3.3308558372560082E-3</v>
      </c>
    </row>
    <row r="123" spans="1:4" x14ac:dyDescent="0.2">
      <c r="A123">
        <v>309.69</v>
      </c>
      <c r="B123">
        <f>Table9[[#This Row],[unnorm_x]]/$A$144</f>
        <v>0.85250640019819968</v>
      </c>
      <c r="C123" t="s">
        <v>84</v>
      </c>
      <c r="D123">
        <f>Table9[[#This Row],[X]]-B122</f>
        <v>4.4594929391361671E-3</v>
      </c>
    </row>
    <row r="124" spans="1:4" x14ac:dyDescent="0.2">
      <c r="A124">
        <v>311.62</v>
      </c>
      <c r="B124">
        <f>Table9[[#This Row],[unnorm_x]]/$A$144</f>
        <v>0.8578192528972941</v>
      </c>
      <c r="C124" t="s">
        <v>85</v>
      </c>
      <c r="D124">
        <f>Table9[[#This Row],[X]]-B123</f>
        <v>5.312852699094428E-3</v>
      </c>
    </row>
    <row r="125" spans="1:4" x14ac:dyDescent="0.2">
      <c r="A125">
        <v>316.35000000000002</v>
      </c>
      <c r="B125">
        <f>Table9[[#This Row],[unnorm_x]]/$A$144</f>
        <v>0.87083987117020412</v>
      </c>
      <c r="C125" t="s">
        <v>91</v>
      </c>
      <c r="D125">
        <f>Table9[[#This Row],[X]]-B124</f>
        <v>1.3020618272910012E-2</v>
      </c>
    </row>
    <row r="126" spans="1:4" x14ac:dyDescent="0.2">
      <c r="A126">
        <v>318.25</v>
      </c>
      <c r="B126">
        <f>Table9[[#This Row],[unnorm_x]]/$A$144</f>
        <v>0.87607014066672173</v>
      </c>
      <c r="C126" t="s">
        <v>85</v>
      </c>
      <c r="D126">
        <f>Table9[[#This Row],[X]]-B125</f>
        <v>5.2302694965176144E-3</v>
      </c>
    </row>
    <row r="127" spans="1:4" x14ac:dyDescent="0.2">
      <c r="A127">
        <v>320.07</v>
      </c>
      <c r="B127">
        <f>Table9[[#This Row],[unnorm_x]]/$A$144</f>
        <v>0.88108018828970192</v>
      </c>
      <c r="C127" t="s">
        <v>84</v>
      </c>
      <c r="D127">
        <f>Table9[[#This Row],[X]]-B126</f>
        <v>5.0100476229801849E-3</v>
      </c>
    </row>
    <row r="128" spans="1:4" x14ac:dyDescent="0.2">
      <c r="A128">
        <v>321.39</v>
      </c>
      <c r="B128">
        <f>Table9[[#This Row],[unnorm_x]]/$A$144</f>
        <v>0.88471384920307206</v>
      </c>
      <c r="C128" t="s">
        <v>83</v>
      </c>
      <c r="D128">
        <f>Table9[[#This Row],[X]]-B127</f>
        <v>3.6336609133701403E-3</v>
      </c>
    </row>
    <row r="129" spans="1:4" x14ac:dyDescent="0.2">
      <c r="A129">
        <v>327.79</v>
      </c>
      <c r="B129">
        <f>Table9[[#This Row],[unnorm_x]]/$A$144</f>
        <v>0.90233159908607929</v>
      </c>
      <c r="C129" t="s">
        <v>86</v>
      </c>
      <c r="D129">
        <f>Table9[[#This Row],[X]]-B128</f>
        <v>1.7617749883007239E-2</v>
      </c>
    </row>
    <row r="130" spans="1:4" x14ac:dyDescent="0.2">
      <c r="A130">
        <v>329.15</v>
      </c>
      <c r="B130">
        <f>Table9[[#This Row],[unnorm_x]]/$A$144</f>
        <v>0.90607537093621826</v>
      </c>
      <c r="C130" t="s">
        <v>83</v>
      </c>
      <c r="D130">
        <f>Table9[[#This Row],[X]]-B129</f>
        <v>3.7437718501389661E-3</v>
      </c>
    </row>
    <row r="131" spans="1:4" x14ac:dyDescent="0.2">
      <c r="A131">
        <v>330.69</v>
      </c>
      <c r="B131">
        <f>Table9[[#This Row],[unnorm_x]]/$A$144</f>
        <v>0.91031464200181689</v>
      </c>
      <c r="C131" t="s">
        <v>84</v>
      </c>
      <c r="D131">
        <f>Table9[[#This Row],[X]]-B130</f>
        <v>4.2392710655986265E-3</v>
      </c>
    </row>
    <row r="132" spans="1:4" x14ac:dyDescent="0.2">
      <c r="A132">
        <v>332.75</v>
      </c>
      <c r="B132">
        <f>Table9[[#This Row],[unnorm_x]]/$A$144</f>
        <v>0.9159853552454098</v>
      </c>
      <c r="C132" t="s">
        <v>85</v>
      </c>
      <c r="D132">
        <f>Table9[[#This Row],[X]]-B131</f>
        <v>5.6707132435929175E-3</v>
      </c>
    </row>
    <row r="133" spans="1:4" x14ac:dyDescent="0.2">
      <c r="A133">
        <v>337.63</v>
      </c>
      <c r="B133">
        <f>Table9[[#This Row],[unnorm_x]]/$A$144</f>
        <v>0.92941888953120277</v>
      </c>
      <c r="C133" t="s">
        <v>87</v>
      </c>
      <c r="D133">
        <f>Table9[[#This Row],[X]]-B132</f>
        <v>1.343353428579297E-2</v>
      </c>
    </row>
    <row r="134" spans="1:4" x14ac:dyDescent="0.2">
      <c r="A134">
        <v>339.29</v>
      </c>
      <c r="B134">
        <f>Table9[[#This Row],[unnorm_x]]/$A$144</f>
        <v>0.93398849340710777</v>
      </c>
      <c r="C134" t="s">
        <v>85</v>
      </c>
      <c r="D134">
        <f>Table9[[#This Row],[X]]-B133</f>
        <v>4.5696038759049928E-3</v>
      </c>
    </row>
    <row r="135" spans="1:4" x14ac:dyDescent="0.2">
      <c r="A135">
        <v>340.91</v>
      </c>
      <c r="B135">
        <f>Table9[[#This Row],[unnorm_x]]/$A$144</f>
        <v>0.93844798634624393</v>
      </c>
      <c r="C135" t="s">
        <v>84</v>
      </c>
      <c r="D135">
        <f>Table9[[#This Row],[X]]-B134</f>
        <v>4.4594929391361671E-3</v>
      </c>
    </row>
    <row r="136" spans="1:4" x14ac:dyDescent="0.2">
      <c r="A136">
        <v>342.41</v>
      </c>
      <c r="B136">
        <f>Table9[[#This Row],[unnorm_x]]/$A$144</f>
        <v>0.94257714647507373</v>
      </c>
      <c r="C136" t="s">
        <v>83</v>
      </c>
      <c r="D136">
        <f>Table9[[#This Row],[X]]-B135</f>
        <v>4.1291601288298008E-3</v>
      </c>
    </row>
    <row r="137" spans="1:4" x14ac:dyDescent="0.2">
      <c r="A137">
        <v>347.18</v>
      </c>
      <c r="B137">
        <f>Table9[[#This Row],[unnorm_x]]/$A$144</f>
        <v>0.95570787568475246</v>
      </c>
      <c r="C137" t="s">
        <v>90</v>
      </c>
      <c r="D137">
        <f>Table9[[#This Row],[X]]-B136</f>
        <v>1.3130729209678726E-2</v>
      </c>
    </row>
    <row r="138" spans="1:4" x14ac:dyDescent="0.2">
      <c r="A138">
        <v>348.63</v>
      </c>
      <c r="B138">
        <f>Table9[[#This Row],[unnorm_x]]/$A$144</f>
        <v>0.9596993971426212</v>
      </c>
      <c r="C138" t="s">
        <v>83</v>
      </c>
      <c r="D138">
        <f>Table9[[#This Row],[X]]-B137</f>
        <v>3.9915214578687408E-3</v>
      </c>
    </row>
    <row r="139" spans="1:4" x14ac:dyDescent="0.2">
      <c r="A139">
        <v>350.24</v>
      </c>
      <c r="B139">
        <f>Table9[[#This Row],[unnorm_x]]/$A$144</f>
        <v>0.96413136234756525</v>
      </c>
      <c r="C139" t="s">
        <v>84</v>
      </c>
      <c r="D139">
        <f>Table9[[#This Row],[X]]-B138</f>
        <v>4.4319652049440439E-3</v>
      </c>
    </row>
    <row r="140" spans="1:4" x14ac:dyDescent="0.2">
      <c r="A140">
        <v>352.11</v>
      </c>
      <c r="B140">
        <f>Table9[[#This Row],[unnorm_x]]/$A$144</f>
        <v>0.96927904864150638</v>
      </c>
      <c r="C140" t="s">
        <v>85</v>
      </c>
      <c r="D140">
        <f>Table9[[#This Row],[X]]-B139</f>
        <v>5.1476862939411339E-3</v>
      </c>
    </row>
    <row r="141" spans="1:4" x14ac:dyDescent="0.2">
      <c r="A141">
        <v>358.47</v>
      </c>
      <c r="B141">
        <f>Table9[[#This Row],[unnorm_x]]/$A$144</f>
        <v>0.98678668758774479</v>
      </c>
      <c r="C141" t="s">
        <v>86</v>
      </c>
      <c r="D141">
        <f>Table9[[#This Row],[X]]-B140</f>
        <v>1.7507638946238413E-2</v>
      </c>
    </row>
    <row r="142" spans="1:4" x14ac:dyDescent="0.2">
      <c r="A142">
        <v>360.25</v>
      </c>
      <c r="B142">
        <f>Table9[[#This Row],[unnorm_x]]/$A$144</f>
        <v>0.99168662427395604</v>
      </c>
      <c r="C142" t="s">
        <v>85</v>
      </c>
      <c r="D142">
        <f>Table9[[#This Row],[X]]-B141</f>
        <v>4.8999366862112481E-3</v>
      </c>
    </row>
    <row r="143" spans="1:4" x14ac:dyDescent="0.2">
      <c r="A143">
        <v>361.91</v>
      </c>
      <c r="B143">
        <f>Table9[[#This Row],[unnorm_x]]/$A$144</f>
        <v>0.99625622814986114</v>
      </c>
      <c r="C143" t="s">
        <v>84</v>
      </c>
      <c r="D143">
        <f>Table9[[#This Row],[X]]-B142</f>
        <v>4.5696038759051039E-3</v>
      </c>
    </row>
    <row r="144" spans="1:4" x14ac:dyDescent="0.2">
      <c r="A144">
        <v>363.27</v>
      </c>
      <c r="B144">
        <f>Table9[[#This Row],[unnorm_x]]/$A$144</f>
        <v>1</v>
      </c>
      <c r="C144" t="s">
        <v>83</v>
      </c>
      <c r="D144">
        <f>Table9[[#This Row],[X]]-B143</f>
        <v>3.7437718501388551E-3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CE515-5062-5E42-9CB5-5EEF12730F3F}">
  <dimension ref="A1:K27"/>
  <sheetViews>
    <sheetView zoomScale="83" workbookViewId="0">
      <selection activeCell="G33" sqref="G33"/>
    </sheetView>
  </sheetViews>
  <sheetFormatPr baseColWidth="10" defaultColWidth="10.83203125" defaultRowHeight="16" x14ac:dyDescent="0.2"/>
  <cols>
    <col min="2" max="2" width="13.1640625" customWidth="1"/>
    <col min="3" max="3" width="13.83203125" customWidth="1"/>
  </cols>
  <sheetData>
    <row r="1" spans="1:10" x14ac:dyDescent="0.2">
      <c r="A1" t="s">
        <v>0</v>
      </c>
      <c r="B1" t="s">
        <v>34</v>
      </c>
      <c r="C1" t="s">
        <v>72</v>
      </c>
      <c r="D1" t="s">
        <v>29</v>
      </c>
      <c r="E1" t="s">
        <v>31</v>
      </c>
      <c r="G1" t="s">
        <v>4</v>
      </c>
      <c r="H1" s="8">
        <v>380.33834999999999</v>
      </c>
      <c r="J1">
        <f>H1/H2</f>
        <v>0.75</v>
      </c>
    </row>
    <row r="2" spans="1:10" x14ac:dyDescent="0.2">
      <c r="A2">
        <v>0</v>
      </c>
      <c r="B2">
        <v>329.79</v>
      </c>
      <c r="C2">
        <v>22.94</v>
      </c>
      <c r="D2">
        <v>377.73</v>
      </c>
      <c r="E2">
        <v>159.04</v>
      </c>
      <c r="G2" t="s">
        <v>5</v>
      </c>
      <c r="H2" s="8">
        <v>507.11779999999999</v>
      </c>
    </row>
    <row r="3" spans="1:10" x14ac:dyDescent="0.2">
      <c r="A3">
        <v>1</v>
      </c>
      <c r="B3">
        <v>337.29</v>
      </c>
      <c r="C3">
        <v>225.7</v>
      </c>
      <c r="D3">
        <v>379.91</v>
      </c>
      <c r="E3">
        <v>258.62</v>
      </c>
    </row>
    <row r="4" spans="1:10" x14ac:dyDescent="0.2">
      <c r="A4">
        <v>2</v>
      </c>
      <c r="B4">
        <v>337.05</v>
      </c>
      <c r="C4">
        <v>288.20999999999998</v>
      </c>
      <c r="D4">
        <v>380.4</v>
      </c>
      <c r="E4">
        <v>316.14999999999998</v>
      </c>
    </row>
    <row r="5" spans="1:10" x14ac:dyDescent="0.2">
      <c r="A5">
        <v>3</v>
      </c>
      <c r="B5">
        <v>356.18</v>
      </c>
      <c r="C5">
        <v>355.98</v>
      </c>
      <c r="D5">
        <v>376.76</v>
      </c>
      <c r="E5">
        <v>468.27</v>
      </c>
    </row>
    <row r="7" spans="1:10" x14ac:dyDescent="0.2">
      <c r="A7" t="s">
        <v>0</v>
      </c>
      <c r="B7" t="s">
        <v>73</v>
      </c>
      <c r="C7" t="s">
        <v>74</v>
      </c>
      <c r="D7" t="s">
        <v>75</v>
      </c>
      <c r="E7" s="3" t="s">
        <v>78</v>
      </c>
      <c r="F7" s="9" t="s">
        <v>77</v>
      </c>
    </row>
    <row r="8" spans="1:10" x14ac:dyDescent="0.2">
      <c r="A8">
        <v>0</v>
      </c>
      <c r="B8" s="4">
        <v>22.94</v>
      </c>
      <c r="C8" s="4">
        <v>329.79</v>
      </c>
      <c r="E8" s="4">
        <v>328.32</v>
      </c>
      <c r="F8" s="6">
        <v>325.3</v>
      </c>
    </row>
    <row r="9" spans="1:10" x14ac:dyDescent="0.2">
      <c r="A9">
        <v>1</v>
      </c>
      <c r="B9" s="6">
        <v>159.04</v>
      </c>
      <c r="C9" s="4">
        <v>377.73</v>
      </c>
      <c r="D9">
        <f t="shared" ref="D9:D15" si="0">ABS(C9-C8)</f>
        <v>47.94</v>
      </c>
      <c r="E9" s="5">
        <v>376.71</v>
      </c>
      <c r="F9" s="7">
        <v>373.73</v>
      </c>
    </row>
    <row r="10" spans="1:10" x14ac:dyDescent="0.2">
      <c r="A10">
        <v>2</v>
      </c>
      <c r="B10" s="5">
        <v>225.7</v>
      </c>
      <c r="C10" s="5">
        <v>337.29</v>
      </c>
      <c r="D10">
        <f t="shared" si="0"/>
        <v>40.44</v>
      </c>
      <c r="E10" s="4">
        <v>335.71</v>
      </c>
      <c r="F10" s="6">
        <v>332.27</v>
      </c>
    </row>
    <row r="11" spans="1:10" x14ac:dyDescent="0.2">
      <c r="A11">
        <v>3</v>
      </c>
      <c r="B11" s="7">
        <v>258.62</v>
      </c>
      <c r="C11" s="5">
        <v>379.91</v>
      </c>
      <c r="D11">
        <f t="shared" si="0"/>
        <v>42.620000000000005</v>
      </c>
      <c r="E11" s="5">
        <v>378.32</v>
      </c>
      <c r="F11" s="7">
        <v>375.91</v>
      </c>
    </row>
    <row r="12" spans="1:10" x14ac:dyDescent="0.2">
      <c r="A12">
        <v>4</v>
      </c>
      <c r="B12" s="4">
        <v>288.20999999999998</v>
      </c>
      <c r="C12" s="4">
        <v>337.05</v>
      </c>
      <c r="D12">
        <f t="shared" si="0"/>
        <v>42.860000000000014</v>
      </c>
      <c r="E12" s="4">
        <v>335.71</v>
      </c>
      <c r="F12" s="6">
        <v>332.38</v>
      </c>
    </row>
    <row r="13" spans="1:10" x14ac:dyDescent="0.2">
      <c r="A13">
        <v>5</v>
      </c>
      <c r="B13" s="6">
        <v>316.14999999999998</v>
      </c>
      <c r="C13" s="4">
        <v>380.4</v>
      </c>
      <c r="D13">
        <f t="shared" si="0"/>
        <v>43.349999999999966</v>
      </c>
      <c r="E13" s="5">
        <v>379.12</v>
      </c>
      <c r="F13" s="7">
        <v>376.02</v>
      </c>
    </row>
    <row r="14" spans="1:10" x14ac:dyDescent="0.2">
      <c r="A14">
        <v>6</v>
      </c>
      <c r="B14" s="5">
        <v>355.98</v>
      </c>
      <c r="C14" s="5">
        <v>356.18</v>
      </c>
      <c r="D14">
        <f t="shared" si="0"/>
        <v>24.21999999999997</v>
      </c>
      <c r="E14" s="4">
        <v>336.06</v>
      </c>
      <c r="F14" s="6">
        <v>332.49</v>
      </c>
      <c r="I14">
        <f>E20-F20</f>
        <v>7.9402984211294214E-3</v>
      </c>
    </row>
    <row r="15" spans="1:10" x14ac:dyDescent="0.2">
      <c r="A15">
        <v>7</v>
      </c>
      <c r="B15" s="7">
        <v>468.27</v>
      </c>
      <c r="C15" s="5">
        <v>376.76</v>
      </c>
      <c r="D15">
        <f t="shared" si="0"/>
        <v>20.579999999999984</v>
      </c>
      <c r="E15" s="5">
        <v>375.33</v>
      </c>
      <c r="F15" s="7">
        <v>372.46</v>
      </c>
    </row>
    <row r="17" spans="1:11" x14ac:dyDescent="0.2">
      <c r="A17" t="s">
        <v>76</v>
      </c>
    </row>
    <row r="19" spans="1:11" x14ac:dyDescent="0.2">
      <c r="A19" t="s">
        <v>0</v>
      </c>
      <c r="B19" t="s">
        <v>73</v>
      </c>
      <c r="C19" t="s">
        <v>74</v>
      </c>
      <c r="D19" t="s">
        <v>75</v>
      </c>
      <c r="E19" t="s">
        <v>78</v>
      </c>
      <c r="F19" t="s">
        <v>77</v>
      </c>
      <c r="G19" t="s">
        <v>79</v>
      </c>
      <c r="H19" t="s">
        <v>80</v>
      </c>
      <c r="I19" t="s">
        <v>81</v>
      </c>
    </row>
    <row r="20" spans="1:11" x14ac:dyDescent="0.2">
      <c r="A20">
        <f t="shared" ref="A20:A27" si="1">A8/7</f>
        <v>0</v>
      </c>
      <c r="B20">
        <f t="shared" ref="B20:B27" si="2">B8/$H$2</f>
        <v>4.5236037859448047E-2</v>
      </c>
      <c r="C20">
        <f t="shared" ref="C20:C27" si="3">C8/$H$1</f>
        <v>0.86709636301466841</v>
      </c>
      <c r="E20">
        <f t="shared" ref="E20:F27" si="4">E8/$H$1</f>
        <v>0.86323138331961524</v>
      </c>
      <c r="F20">
        <f t="shared" si="4"/>
        <v>0.85529108489848582</v>
      </c>
      <c r="G20" t="e">
        <f>ABS(Table8[[#This Row],[black x]]-E19)</f>
        <v>#VALUE!</v>
      </c>
      <c r="H20" t="e">
        <f>ABS(Table8[[#This Row],[white x]]-F19)</f>
        <v>#VALUE!</v>
      </c>
      <c r="I20" t="e">
        <f>Table8[[#This Row],[white diff]]-Table8[[#This Row],[black diff]]</f>
        <v>#VALUE!</v>
      </c>
    </row>
    <row r="21" spans="1:11" x14ac:dyDescent="0.2">
      <c r="A21">
        <f t="shared" si="1"/>
        <v>0.14285714285714285</v>
      </c>
      <c r="B21">
        <f t="shared" si="2"/>
        <v>0.3136154952557374</v>
      </c>
      <c r="C21">
        <f t="shared" si="3"/>
        <v>0.99314202735537982</v>
      </c>
      <c r="D21">
        <f>ABS(C21-$C$20)</f>
        <v>0.12604566434071141</v>
      </c>
      <c r="E21">
        <f t="shared" si="4"/>
        <v>0.99046020470983265</v>
      </c>
      <c r="F21">
        <f t="shared" si="4"/>
        <v>0.98262507580421488</v>
      </c>
      <c r="G21">
        <f>ABS(Table8[[#This Row],[black x]]-E20)</f>
        <v>0.12722882139021741</v>
      </c>
      <c r="H21">
        <f>ABS(Table8[[#This Row],[white x]]-F20)</f>
        <v>0.12733399090572906</v>
      </c>
      <c r="I21">
        <f>Table8[[#This Row],[white diff]]-Table8[[#This Row],[black diff]]</f>
        <v>1.0516951551164944E-4</v>
      </c>
      <c r="K21" t="s">
        <v>82</v>
      </c>
    </row>
    <row r="22" spans="1:11" x14ac:dyDescent="0.2">
      <c r="A22">
        <f t="shared" si="1"/>
        <v>0.2857142857142857</v>
      </c>
      <c r="B22">
        <f t="shared" si="2"/>
        <v>0.44506424345585976</v>
      </c>
      <c r="C22">
        <f t="shared" si="3"/>
        <v>0.88681564717310268</v>
      </c>
      <c r="D22">
        <f t="shared" ref="D22:D27" si="5">ABS(C22-C21)</f>
        <v>0.10632638018227714</v>
      </c>
      <c r="E22">
        <f t="shared" si="4"/>
        <v>0.88266145131039242</v>
      </c>
      <c r="F22">
        <f t="shared" si="4"/>
        <v>0.87361687297639057</v>
      </c>
      <c r="G22">
        <f>ABS(Table8[[#This Row],[black x]]-E21)</f>
        <v>0.10779875339944023</v>
      </c>
      <c r="H22">
        <f>ABS(Table8[[#This Row],[white x]]-F21)</f>
        <v>0.10900820282782431</v>
      </c>
      <c r="I22">
        <f>Table8[[#This Row],[white diff]]-Table8[[#This Row],[black diff]]</f>
        <v>1.2094494283840795E-3</v>
      </c>
    </row>
    <row r="23" spans="1:11" x14ac:dyDescent="0.2">
      <c r="A23">
        <f t="shared" si="1"/>
        <v>0.42857142857142855</v>
      </c>
      <c r="B23">
        <f t="shared" si="2"/>
        <v>0.50998012690542516</v>
      </c>
      <c r="C23">
        <f t="shared" si="3"/>
        <v>0.99887376595076471</v>
      </c>
      <c r="D23">
        <f t="shared" si="5"/>
        <v>0.11205811877766203</v>
      </c>
      <c r="E23">
        <f t="shared" si="4"/>
        <v>0.99469327770917659</v>
      </c>
      <c r="F23">
        <f t="shared" si="4"/>
        <v>0.98835681439959977</v>
      </c>
      <c r="G23">
        <f>ABS(Table8[[#This Row],[black x]]-E22)</f>
        <v>0.11203182639878417</v>
      </c>
      <c r="H23">
        <f>ABS(Table8[[#This Row],[white x]]-F22)</f>
        <v>0.1147399414232092</v>
      </c>
      <c r="I23">
        <f>Table8[[#This Row],[white diff]]-Table8[[#This Row],[black diff]]</f>
        <v>2.7081150244250285E-3</v>
      </c>
    </row>
    <row r="24" spans="1:11" x14ac:dyDescent="0.2">
      <c r="A24">
        <f t="shared" si="1"/>
        <v>0.5714285714285714</v>
      </c>
      <c r="B24">
        <f t="shared" si="2"/>
        <v>0.56832948873023192</v>
      </c>
      <c r="C24">
        <f t="shared" si="3"/>
        <v>0.88618463008003279</v>
      </c>
      <c r="D24">
        <f t="shared" si="5"/>
        <v>0.11268913587073193</v>
      </c>
      <c r="E24">
        <f t="shared" si="4"/>
        <v>0.88266145131039242</v>
      </c>
      <c r="F24">
        <f t="shared" si="4"/>
        <v>0.87390608914404766</v>
      </c>
      <c r="G24">
        <f>ABS(Table8[[#This Row],[black x]]-E23)</f>
        <v>0.11203182639878417</v>
      </c>
      <c r="H24">
        <f>ABS(Table8[[#This Row],[white x]]-F23)</f>
        <v>0.11445072525555211</v>
      </c>
      <c r="I24">
        <f>Table8[[#This Row],[white diff]]-Table8[[#This Row],[black diff]]</f>
        <v>2.418898856767937E-3</v>
      </c>
    </row>
    <row r="25" spans="1:11" x14ac:dyDescent="0.2">
      <c r="A25">
        <f t="shared" si="1"/>
        <v>0.7142857142857143</v>
      </c>
      <c r="B25">
        <f t="shared" si="2"/>
        <v>0.62342516866889697</v>
      </c>
      <c r="C25">
        <f t="shared" si="3"/>
        <v>1.0001620925157824</v>
      </c>
      <c r="D25">
        <f t="shared" si="5"/>
        <v>0.11397746243574958</v>
      </c>
      <c r="E25">
        <f t="shared" si="4"/>
        <v>0.99679666801940958</v>
      </c>
      <c r="F25">
        <f t="shared" si="4"/>
        <v>0.98864603056725675</v>
      </c>
      <c r="G25">
        <f>ABS(Table8[[#This Row],[black x]]-E24)</f>
        <v>0.11413521670901716</v>
      </c>
      <c r="H25">
        <f>ABS(Table8[[#This Row],[white x]]-F24)</f>
        <v>0.11473994142320909</v>
      </c>
      <c r="I25">
        <f>Table8[[#This Row],[white diff]]-Table8[[#This Row],[black diff]]</f>
        <v>6.0472471419192875E-4</v>
      </c>
    </row>
    <row r="26" spans="1:11" x14ac:dyDescent="0.2">
      <c r="A26">
        <f t="shared" si="1"/>
        <v>0.8571428571428571</v>
      </c>
      <c r="B26">
        <f t="shared" si="2"/>
        <v>0.70196707747194054</v>
      </c>
      <c r="C26">
        <f t="shared" si="3"/>
        <v>0.93648195087347885</v>
      </c>
      <c r="D26">
        <f t="shared" si="5"/>
        <v>6.3680141642303512E-2</v>
      </c>
      <c r="E26">
        <f t="shared" si="4"/>
        <v>0.88358168457111941</v>
      </c>
      <c r="F26">
        <f t="shared" si="4"/>
        <v>0.87419530531170475</v>
      </c>
      <c r="G26">
        <f>ABS(Table8[[#This Row],[black x]]-E25)</f>
        <v>0.11321498344829017</v>
      </c>
      <c r="H26">
        <f>ABS(Table8[[#This Row],[white x]]-F25)</f>
        <v>0.114450725255552</v>
      </c>
      <c r="I26">
        <f>Table8[[#This Row],[white diff]]-Table8[[#This Row],[black diff]]</f>
        <v>1.2357418072618254E-3</v>
      </c>
    </row>
    <row r="27" spans="1:11" x14ac:dyDescent="0.2">
      <c r="A27">
        <f t="shared" si="1"/>
        <v>1</v>
      </c>
      <c r="B27">
        <f t="shared" si="2"/>
        <v>0.92339491928699802</v>
      </c>
      <c r="C27">
        <f t="shared" si="3"/>
        <v>0.99059166660422227</v>
      </c>
      <c r="D27">
        <f t="shared" si="5"/>
        <v>5.4109715730743413E-2</v>
      </c>
      <c r="E27">
        <f t="shared" si="4"/>
        <v>0.98683185642468074</v>
      </c>
      <c r="F27">
        <f t="shared" si="4"/>
        <v>0.97928594368671995</v>
      </c>
      <c r="G27">
        <f>ABS(Table8[[#This Row],[black x]]-E26)</f>
        <v>0.10325017185356133</v>
      </c>
      <c r="H27">
        <f>ABS(Table8[[#This Row],[white x]]-F26)</f>
        <v>0.1050906383750152</v>
      </c>
      <c r="I27">
        <f>Table8[[#This Row],[white diff]]-Table8[[#This Row],[black diff]]</f>
        <v>1.8404665214538651E-3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30FE-D14C-48E2-A242-2E524D676ECC}">
  <dimension ref="A1:S43"/>
  <sheetViews>
    <sheetView topLeftCell="E21" zoomScale="83" zoomScaleNormal="259" workbookViewId="0">
      <selection activeCell="AA56" sqref="AA56"/>
    </sheetView>
  </sheetViews>
  <sheetFormatPr baseColWidth="10" defaultColWidth="8.83203125" defaultRowHeight="16" x14ac:dyDescent="0.2"/>
  <cols>
    <col min="3" max="3" width="9.33203125" bestFit="1" customWidth="1"/>
    <col min="4" max="4" width="9.33203125" customWidth="1"/>
    <col min="8" max="8" width="9.33203125" bestFit="1" customWidth="1"/>
    <col min="9" max="9" width="9.33203125" customWidth="1"/>
  </cols>
  <sheetData>
    <row r="1" spans="1:19" ht="17" x14ac:dyDescent="0.2">
      <c r="A1" t="s">
        <v>0</v>
      </c>
      <c r="B1" t="s">
        <v>1</v>
      </c>
      <c r="C1" t="s">
        <v>2</v>
      </c>
      <c r="D1" s="2" t="s">
        <v>99</v>
      </c>
      <c r="F1" t="s">
        <v>0</v>
      </c>
      <c r="G1" s="3" t="s">
        <v>3</v>
      </c>
      <c r="H1" t="s">
        <v>2</v>
      </c>
      <c r="I1" s="2" t="s">
        <v>102</v>
      </c>
      <c r="J1" t="s">
        <v>103</v>
      </c>
      <c r="M1" t="s">
        <v>4</v>
      </c>
      <c r="N1">
        <v>186.79584</v>
      </c>
      <c r="P1" s="10" t="s">
        <v>71</v>
      </c>
      <c r="Q1" s="10" t="s">
        <v>100</v>
      </c>
      <c r="S1" t="s">
        <v>101</v>
      </c>
    </row>
    <row r="2" spans="1:19" x14ac:dyDescent="0.2">
      <c r="A2">
        <v>0</v>
      </c>
      <c r="B2">
        <v>0</v>
      </c>
      <c r="C2">
        <f>Table5[[#This Row],[Index]]/$A$29</f>
        <v>0</v>
      </c>
      <c r="D2">
        <f>Table5[[#This Row],[x coord]]/$N$1</f>
        <v>0</v>
      </c>
      <c r="F2">
        <v>0</v>
      </c>
      <c r="G2" s="4">
        <v>0</v>
      </c>
      <c r="H2">
        <f>Table6[[#This Row],[Index]]/$F$43</f>
        <v>0</v>
      </c>
      <c r="I2">
        <f>Table6[[#This Row],[y coord]]/$N$2</f>
        <v>0</v>
      </c>
      <c r="J2" t="e">
        <f>Table6[[#This Row],[Y Position]]-I1</f>
        <v>#VALUE!</v>
      </c>
      <c r="M2" t="s">
        <v>5</v>
      </c>
      <c r="N2">
        <v>211.66667000000001</v>
      </c>
      <c r="P2">
        <v>2.4E-2</v>
      </c>
      <c r="Q2">
        <v>3.3000000000000002E-2</v>
      </c>
    </row>
    <row r="3" spans="1:19" x14ac:dyDescent="0.2">
      <c r="A3">
        <f>A2+1</f>
        <v>1</v>
      </c>
      <c r="B3">
        <v>4.07</v>
      </c>
      <c r="C3">
        <f>Table5[[#This Row],[Index]]/$A$29</f>
        <v>3.7037037037037035E-2</v>
      </c>
      <c r="D3">
        <f>Table5[[#This Row],[x coord]]/$N$1</f>
        <v>2.1788493790868148E-2</v>
      </c>
      <c r="F3">
        <f>1+F2</f>
        <v>1</v>
      </c>
      <c r="G3" s="5">
        <v>6.92</v>
      </c>
      <c r="H3">
        <f>Table6[[#This Row],[Index]]/$F$43</f>
        <v>2.4390243902439025E-2</v>
      </c>
      <c r="I3">
        <f>Table6[[#This Row],[y coord]]/$N$2</f>
        <v>3.2692912870977746E-2</v>
      </c>
      <c r="J3">
        <f>Table6[[#This Row],[Y Position]]-I2</f>
        <v>3.2692912870977746E-2</v>
      </c>
      <c r="P3">
        <v>0.22</v>
      </c>
      <c r="Q3">
        <v>1.7999999999999999E-2</v>
      </c>
    </row>
    <row r="4" spans="1:19" x14ac:dyDescent="0.2">
      <c r="A4">
        <f t="shared" ref="A4:A29" si="0">A3+1</f>
        <v>2</v>
      </c>
      <c r="B4">
        <v>8.52</v>
      </c>
      <c r="C4">
        <f>Table5[[#This Row],[Index]]/$A$29</f>
        <v>7.407407407407407E-2</v>
      </c>
      <c r="D4">
        <f>Table5[[#This Row],[x coord]]/$N$1</f>
        <v>4.5611294127321032E-2</v>
      </c>
      <c r="F4">
        <f t="shared" ref="F4:F43" si="1">1+F3</f>
        <v>2</v>
      </c>
      <c r="G4" s="4">
        <v>13.68</v>
      </c>
      <c r="H4">
        <f>Table6[[#This Row],[Index]]/$F$43</f>
        <v>4.878048780487805E-2</v>
      </c>
      <c r="I4">
        <f>Table6[[#This Row],[y coord]]/$N$2</f>
        <v>6.46299202420485E-2</v>
      </c>
      <c r="J4">
        <f>Table6[[#This Row],[Y Position]]-I3</f>
        <v>3.1937007371070754E-2</v>
      </c>
      <c r="P4">
        <v>0.41499999999999998</v>
      </c>
      <c r="Q4">
        <v>3.5000000000000003E-2</v>
      </c>
    </row>
    <row r="5" spans="1:19" x14ac:dyDescent="0.2">
      <c r="A5">
        <f t="shared" si="0"/>
        <v>3</v>
      </c>
      <c r="B5">
        <v>13.4</v>
      </c>
      <c r="C5">
        <f>Table5[[#This Row],[Index]]/$A$29</f>
        <v>0.1111111111111111</v>
      </c>
      <c r="D5">
        <f>Table5[[#This Row],[x coord]]/$N$1</f>
        <v>7.1736072923251404E-2</v>
      </c>
      <c r="F5">
        <f t="shared" si="1"/>
        <v>3</v>
      </c>
      <c r="G5" s="5">
        <v>20.29</v>
      </c>
      <c r="H5">
        <f>Table6[[#This Row],[Index]]/$F$43</f>
        <v>7.3170731707317069E-2</v>
      </c>
      <c r="I5">
        <f>Table6[[#This Row],[y coord]]/$N$2</f>
        <v>9.5858266206956436E-2</v>
      </c>
      <c r="J5">
        <f>Table6[[#This Row],[Y Position]]-I4</f>
        <v>3.1228345964907936E-2</v>
      </c>
      <c r="P5">
        <v>0.70699999999999996</v>
      </c>
      <c r="Q5">
        <v>8.9999999999999993E-3</v>
      </c>
    </row>
    <row r="6" spans="1:19" x14ac:dyDescent="0.2">
      <c r="A6">
        <f t="shared" si="0"/>
        <v>4</v>
      </c>
      <c r="B6">
        <v>18.88</v>
      </c>
      <c r="C6">
        <f>Table5[[#This Row],[Index]]/$A$29</f>
        <v>0.14814814814814814</v>
      </c>
      <c r="D6">
        <f>Table5[[#This Row],[x coord]]/$N$1</f>
        <v>0.10107291468589449</v>
      </c>
      <c r="F6">
        <f t="shared" si="1"/>
        <v>4</v>
      </c>
      <c r="G6" s="4">
        <v>26.49</v>
      </c>
      <c r="H6">
        <f>Table6[[#This Row],[Index]]/$F$43</f>
        <v>9.7560975609756101E-2</v>
      </c>
      <c r="I6">
        <f>Table6[[#This Row],[y coord]]/$N$2</f>
        <v>0.12514960432835268</v>
      </c>
      <c r="J6">
        <f>Table6[[#This Row],[Y Position]]-I5</f>
        <v>2.929133812139624E-2</v>
      </c>
      <c r="P6">
        <v>1</v>
      </c>
      <c r="Q6">
        <v>3.3000000000000002E-2</v>
      </c>
    </row>
    <row r="7" spans="1:19" x14ac:dyDescent="0.2">
      <c r="A7">
        <f t="shared" si="0"/>
        <v>5</v>
      </c>
      <c r="B7">
        <v>24.68</v>
      </c>
      <c r="C7">
        <f>Table5[[#This Row],[Index]]/$A$29</f>
        <v>0.18518518518518517</v>
      </c>
      <c r="D7">
        <f>Table5[[#This Row],[x coord]]/$N$1</f>
        <v>0.13212285669745108</v>
      </c>
      <c r="F7">
        <f t="shared" si="1"/>
        <v>5</v>
      </c>
      <c r="G7" s="5">
        <v>32.07</v>
      </c>
      <c r="H7">
        <f>Table6[[#This Row],[Index]]/$F$43</f>
        <v>0.12195121951219512</v>
      </c>
      <c r="I7">
        <f>Table6[[#This Row],[y coord]]/$N$2</f>
        <v>0.1515118086376093</v>
      </c>
      <c r="J7">
        <f>Table6[[#This Row],[Y Position]]-I6</f>
        <v>2.6362204309256621E-2</v>
      </c>
    </row>
    <row r="8" spans="1:19" x14ac:dyDescent="0.2">
      <c r="A8">
        <f t="shared" si="0"/>
        <v>6</v>
      </c>
      <c r="B8">
        <v>30.76</v>
      </c>
      <c r="C8">
        <f>Table5[[#This Row],[Index]]/$A$29</f>
        <v>0.22222222222222221</v>
      </c>
      <c r="D8">
        <f>Table5[[#This Row],[x coord]]/$N$1</f>
        <v>0.16467176142680695</v>
      </c>
      <c r="F8">
        <f t="shared" si="1"/>
        <v>6</v>
      </c>
      <c r="G8" s="4">
        <v>37.450000000000003</v>
      </c>
      <c r="H8">
        <f>Table6[[#This Row],[Index]]/$F$43</f>
        <v>0.14634146341463414</v>
      </c>
      <c r="I8">
        <f>Table6[[#This Row],[y coord]]/$N$2</f>
        <v>0.17692913107198219</v>
      </c>
      <c r="J8">
        <f>Table6[[#This Row],[Y Position]]-I7</f>
        <v>2.5417322434372891E-2</v>
      </c>
    </row>
    <row r="9" spans="1:19" x14ac:dyDescent="0.2">
      <c r="A9">
        <f t="shared" si="0"/>
        <v>7</v>
      </c>
      <c r="B9">
        <v>37.380000000000003</v>
      </c>
      <c r="C9">
        <f>Table5[[#This Row],[Index]]/$A$29</f>
        <v>0.25925925925925924</v>
      </c>
      <c r="D9">
        <f>Table5[[#This Row],[x coord]]/$N$1</f>
        <v>0.20011152282620429</v>
      </c>
      <c r="F9">
        <f t="shared" si="1"/>
        <v>7</v>
      </c>
      <c r="G9" s="5">
        <v>42.07</v>
      </c>
      <c r="H9">
        <f>Table6[[#This Row],[Index]]/$F$43</f>
        <v>0.17073170731707318</v>
      </c>
      <c r="I9">
        <f>Table6[[#This Row],[y coord]]/$N$2</f>
        <v>0.1987559023817968</v>
      </c>
      <c r="J9">
        <f>Table6[[#This Row],[Y Position]]-I8</f>
        <v>2.1826771309814613E-2</v>
      </c>
    </row>
    <row r="10" spans="1:19" x14ac:dyDescent="0.2">
      <c r="A10">
        <f t="shared" si="0"/>
        <v>8</v>
      </c>
      <c r="B10">
        <v>44.6</v>
      </c>
      <c r="C10">
        <f>Table5[[#This Row],[Index]]/$A$29</f>
        <v>0.29629629629629628</v>
      </c>
      <c r="D10">
        <f>Table5[[#This Row],[x coord]]/$N$1</f>
        <v>0.23876334719231435</v>
      </c>
      <c r="F10">
        <f t="shared" si="1"/>
        <v>8</v>
      </c>
      <c r="G10" s="4">
        <v>46.07</v>
      </c>
      <c r="H10">
        <f>Table6[[#This Row],[Index]]/$F$43</f>
        <v>0.1951219512195122</v>
      </c>
      <c r="I10">
        <f>Table6[[#This Row],[y coord]]/$N$2</f>
        <v>0.21765353987947181</v>
      </c>
      <c r="J10">
        <f>Table6[[#This Row],[Y Position]]-I9</f>
        <v>1.8897637497675007E-2</v>
      </c>
    </row>
    <row r="11" spans="1:19" x14ac:dyDescent="0.2">
      <c r="A11">
        <f t="shared" si="0"/>
        <v>9</v>
      </c>
      <c r="B11">
        <v>52.52</v>
      </c>
      <c r="C11">
        <f>Table5[[#This Row],[Index]]/$A$29</f>
        <v>0.33333333333333331</v>
      </c>
      <c r="D11">
        <f>Table5[[#This Row],[x coord]]/$N$1</f>
        <v>0.28116257835292263</v>
      </c>
      <c r="F11">
        <f t="shared" si="1"/>
        <v>9</v>
      </c>
      <c r="G11" s="5">
        <v>49.94</v>
      </c>
      <c r="H11">
        <f>Table6[[#This Row],[Index]]/$F$43</f>
        <v>0.21951219512195122</v>
      </c>
      <c r="I11">
        <f>Table6[[#This Row],[y coord]]/$N$2</f>
        <v>0.23593700415847235</v>
      </c>
      <c r="J11">
        <f>Table6[[#This Row],[Y Position]]-I10</f>
        <v>1.8283464279000544E-2</v>
      </c>
    </row>
    <row r="12" spans="1:19" x14ac:dyDescent="0.2">
      <c r="A12">
        <f t="shared" si="0"/>
        <v>10</v>
      </c>
      <c r="B12">
        <v>60.65</v>
      </c>
      <c r="C12">
        <f>Table5[[#This Row],[Index]]/$A$29</f>
        <v>0.37037037037037035</v>
      </c>
      <c r="D12">
        <f>Table5[[#This Row],[x coord]]/$N$1</f>
        <v>0.32468603155188036</v>
      </c>
      <c r="F12">
        <f t="shared" si="1"/>
        <v>10</v>
      </c>
      <c r="G12" s="4">
        <v>54.13</v>
      </c>
      <c r="H12">
        <f>Table6[[#This Row],[Index]]/$F$43</f>
        <v>0.24390243902439024</v>
      </c>
      <c r="I12">
        <f>Table6[[#This Row],[y coord]]/$N$2</f>
        <v>0.25573227943728694</v>
      </c>
      <c r="J12">
        <f>Table6[[#This Row],[Y Position]]-I11</f>
        <v>1.9795275278814584E-2</v>
      </c>
    </row>
    <row r="13" spans="1:19" x14ac:dyDescent="0.2">
      <c r="A13">
        <f t="shared" si="0"/>
        <v>11</v>
      </c>
      <c r="B13">
        <v>69.44</v>
      </c>
      <c r="C13">
        <f>Table5[[#This Row],[Index]]/$A$29</f>
        <v>0.40740740740740738</v>
      </c>
      <c r="D13">
        <f>Table5[[#This Row],[x coord]]/$N$1</f>
        <v>0.37174275401422213</v>
      </c>
      <c r="F13">
        <f t="shared" si="1"/>
        <v>11</v>
      </c>
      <c r="G13" s="5">
        <v>58.8</v>
      </c>
      <c r="H13">
        <f>Table6[[#This Row],[Index]]/$F$43</f>
        <v>0.26829268292682928</v>
      </c>
      <c r="I13">
        <f>Table6[[#This Row],[y coord]]/$N$2</f>
        <v>0.27779527121582248</v>
      </c>
      <c r="J13">
        <f>Table6[[#This Row],[Y Position]]-I12</f>
        <v>2.2062991778535546E-2</v>
      </c>
    </row>
    <row r="14" spans="1:19" x14ac:dyDescent="0.2">
      <c r="A14">
        <f t="shared" si="0"/>
        <v>12</v>
      </c>
      <c r="B14">
        <v>78.72</v>
      </c>
      <c r="C14">
        <f>Table5[[#This Row],[Index]]/$A$29</f>
        <v>0.44444444444444442</v>
      </c>
      <c r="D14">
        <f>Table5[[#This Row],[x coord]]/$N$1</f>
        <v>0.42142266123271266</v>
      </c>
      <c r="F14">
        <f t="shared" si="1"/>
        <v>12</v>
      </c>
      <c r="G14" s="4">
        <v>64.099999999999994</v>
      </c>
      <c r="H14">
        <f>Table6[[#This Row],[Index]]/$F$43</f>
        <v>0.29268292682926828</v>
      </c>
      <c r="I14">
        <f>Table6[[#This Row],[y coord]]/$N$2</f>
        <v>0.30283464090024181</v>
      </c>
      <c r="J14">
        <f>Table6[[#This Row],[Y Position]]-I13</f>
        <v>2.5039369684419333E-2</v>
      </c>
    </row>
    <row r="15" spans="1:19" x14ac:dyDescent="0.2">
      <c r="A15">
        <f t="shared" si="0"/>
        <v>13</v>
      </c>
      <c r="B15">
        <v>88.38</v>
      </c>
      <c r="C15">
        <f>Table5[[#This Row],[Index]]/$A$29</f>
        <v>0.48148148148148145</v>
      </c>
      <c r="D15">
        <f>Table5[[#This Row],[x coord]]/$N$1</f>
        <v>0.47313687499678792</v>
      </c>
      <c r="F15">
        <f t="shared" si="1"/>
        <v>13</v>
      </c>
      <c r="G15" s="5">
        <v>69.67</v>
      </c>
      <c r="H15">
        <f>Table6[[#This Row],[Index]]/$F$43</f>
        <v>0.31707317073170732</v>
      </c>
      <c r="I15">
        <f>Table6[[#This Row],[y coord]]/$N$2</f>
        <v>0.32914960111575431</v>
      </c>
      <c r="J15">
        <f>Table6[[#This Row],[Y Position]]-I14</f>
        <v>2.6314960215512495E-2</v>
      </c>
    </row>
    <row r="16" spans="1:19" x14ac:dyDescent="0.2">
      <c r="A16">
        <f t="shared" si="0"/>
        <v>14</v>
      </c>
      <c r="B16">
        <v>98.58</v>
      </c>
      <c r="C16">
        <f>Table5[[#This Row],[Index]]/$A$29</f>
        <v>0.51851851851851849</v>
      </c>
      <c r="D16">
        <f>Table5[[#This Row],[x coord]]/$N$1</f>
        <v>0.52774194543090469</v>
      </c>
      <c r="F16">
        <f t="shared" si="1"/>
        <v>14</v>
      </c>
      <c r="G16" s="4">
        <v>75.760000000000005</v>
      </c>
      <c r="H16">
        <f>Table6[[#This Row],[Index]]/$F$43</f>
        <v>0.34146341463414637</v>
      </c>
      <c r="I16">
        <f>Table6[[#This Row],[y coord]]/$N$2</f>
        <v>0.35792125420596449</v>
      </c>
      <c r="J16">
        <f>Table6[[#This Row],[Y Position]]-I15</f>
        <v>2.8771653090210181E-2</v>
      </c>
    </row>
    <row r="17" spans="1:10" x14ac:dyDescent="0.2">
      <c r="A17">
        <f t="shared" si="0"/>
        <v>15</v>
      </c>
      <c r="B17">
        <v>107.85</v>
      </c>
      <c r="C17">
        <f>Table5[[#This Row],[Index]]/$A$29</f>
        <v>0.55555555555555558</v>
      </c>
      <c r="D17">
        <f>Table5[[#This Row],[x coord]]/$N$1</f>
        <v>0.57736831826661661</v>
      </c>
      <c r="F17">
        <f t="shared" si="1"/>
        <v>15</v>
      </c>
      <c r="G17" s="5">
        <v>82.41</v>
      </c>
      <c r="H17">
        <f>Table6[[#This Row],[Index]]/$F$43</f>
        <v>0.36585365853658536</v>
      </c>
      <c r="I17">
        <f>Table6[[#This Row],[y coord]]/$N$2</f>
        <v>0.38933857654584914</v>
      </c>
      <c r="J17">
        <f>Table6[[#This Row],[Y Position]]-I16</f>
        <v>3.1417322339884646E-2</v>
      </c>
    </row>
    <row r="18" spans="1:10" x14ac:dyDescent="0.2">
      <c r="A18">
        <f t="shared" si="0"/>
        <v>16</v>
      </c>
      <c r="B18">
        <v>117.13</v>
      </c>
      <c r="C18">
        <f>Table5[[#This Row],[Index]]/$A$29</f>
        <v>0.59259259259259256</v>
      </c>
      <c r="D18">
        <f>Table5[[#This Row],[x coord]]/$N$1</f>
        <v>0.62704822548510719</v>
      </c>
      <c r="F18">
        <f t="shared" si="1"/>
        <v>16</v>
      </c>
      <c r="G18" s="4">
        <v>89.53</v>
      </c>
      <c r="H18">
        <f>Table6[[#This Row],[Index]]/$F$43</f>
        <v>0.3902439024390244</v>
      </c>
      <c r="I18">
        <f>Table6[[#This Row],[y coord]]/$N$2</f>
        <v>0.42297637129171067</v>
      </c>
      <c r="J18">
        <f>Table6[[#This Row],[Y Position]]-I17</f>
        <v>3.3637794745861538E-2</v>
      </c>
    </row>
    <row r="19" spans="1:10" x14ac:dyDescent="0.2">
      <c r="A19">
        <f t="shared" si="0"/>
        <v>17</v>
      </c>
      <c r="B19">
        <v>125.81</v>
      </c>
      <c r="C19">
        <f>Table5[[#This Row],[Index]]/$A$29</f>
        <v>0.62962962962962965</v>
      </c>
      <c r="D19">
        <f>Table5[[#This Row],[x coord]]/$N$1</f>
        <v>0.67351606973688494</v>
      </c>
      <c r="F19">
        <f t="shared" si="1"/>
        <v>17</v>
      </c>
      <c r="G19" s="5">
        <v>97.04</v>
      </c>
      <c r="H19">
        <f>Table6[[#This Row],[Index]]/$F$43</f>
        <v>0.41463414634146339</v>
      </c>
      <c r="I19">
        <f>Table6[[#This Row],[y coord]]/$N$2</f>
        <v>0.45845668569359549</v>
      </c>
      <c r="J19">
        <f>Table6[[#This Row],[Y Position]]-I18</f>
        <v>3.5480314401884816E-2</v>
      </c>
    </row>
    <row r="20" spans="1:10" x14ac:dyDescent="0.2">
      <c r="A20">
        <f t="shared" si="0"/>
        <v>18</v>
      </c>
      <c r="B20">
        <v>133.52000000000001</v>
      </c>
      <c r="C20">
        <f>Table5[[#This Row],[Index]]/$A$29</f>
        <v>0.66666666666666663</v>
      </c>
      <c r="D20">
        <f>Table5[[#This Row],[x coord]]/$N$1</f>
        <v>0.71479107885914384</v>
      </c>
      <c r="F20">
        <f t="shared" si="1"/>
        <v>18</v>
      </c>
      <c r="G20" s="4">
        <v>104.16</v>
      </c>
      <c r="H20">
        <f>Table6[[#This Row],[Index]]/$F$43</f>
        <v>0.43902439024390244</v>
      </c>
      <c r="I20">
        <f>Table6[[#This Row],[y coord]]/$N$2</f>
        <v>0.49209448043945697</v>
      </c>
      <c r="J20">
        <f>Table6[[#This Row],[Y Position]]-I19</f>
        <v>3.3637794745861482E-2</v>
      </c>
    </row>
    <row r="21" spans="1:10" x14ac:dyDescent="0.2">
      <c r="A21">
        <f t="shared" si="0"/>
        <v>19</v>
      </c>
      <c r="B21">
        <v>141.44</v>
      </c>
      <c r="C21">
        <f>Table5[[#This Row],[Index]]/$A$29</f>
        <v>0.70370370370370372</v>
      </c>
      <c r="D21">
        <f>Table5[[#This Row],[x coord]]/$N$1</f>
        <v>0.75719031001975201</v>
      </c>
      <c r="F21">
        <f t="shared" si="1"/>
        <v>19</v>
      </c>
      <c r="G21" s="5">
        <v>110.96</v>
      </c>
      <c r="H21">
        <f>Table6[[#This Row],[Index]]/$F$43</f>
        <v>0.46341463414634149</v>
      </c>
      <c r="I21">
        <f>Table6[[#This Row],[y coord]]/$N$2</f>
        <v>0.5242204641855045</v>
      </c>
      <c r="J21">
        <f>Table6[[#This Row],[Y Position]]-I20</f>
        <v>3.2125983746047526E-2</v>
      </c>
    </row>
    <row r="22" spans="1:10" x14ac:dyDescent="0.2">
      <c r="A22">
        <f t="shared" si="0"/>
        <v>20</v>
      </c>
      <c r="B22">
        <v>148.65</v>
      </c>
      <c r="C22">
        <f>Table5[[#This Row],[Index]]/$A$29</f>
        <v>0.7407407407407407</v>
      </c>
      <c r="D22">
        <f>Table5[[#This Row],[x coord]]/$N$1</f>
        <v>0.7957886000030836</v>
      </c>
      <c r="F22">
        <f t="shared" si="1"/>
        <v>20</v>
      </c>
      <c r="G22" s="4">
        <v>117.05</v>
      </c>
      <c r="H22">
        <f>Table6[[#This Row],[Index]]/$F$43</f>
        <v>0.48780487804878048</v>
      </c>
      <c r="I22">
        <f>Table6[[#This Row],[y coord]]/$N$2</f>
        <v>0.55299211727571462</v>
      </c>
      <c r="J22">
        <f>Table6[[#This Row],[Y Position]]-I21</f>
        <v>2.8771653090210125E-2</v>
      </c>
    </row>
    <row r="23" spans="1:10" x14ac:dyDescent="0.2">
      <c r="A23">
        <f t="shared" si="0"/>
        <v>21</v>
      </c>
      <c r="B23">
        <v>155.33000000000001</v>
      </c>
      <c r="C23">
        <f>Table5[[#This Row],[Index]]/$A$29</f>
        <v>0.77777777777777779</v>
      </c>
      <c r="D23">
        <f>Table5[[#This Row],[x coord]]/$N$1</f>
        <v>0.83154956769915223</v>
      </c>
      <c r="F23">
        <f t="shared" si="1"/>
        <v>21</v>
      </c>
      <c r="G23" s="5">
        <v>122.74</v>
      </c>
      <c r="H23">
        <f>Table6[[#This Row],[Index]]/$F$43</f>
        <v>0.51219512195121952</v>
      </c>
      <c r="I23">
        <f>Table6[[#This Row],[y coord]]/$N$2</f>
        <v>0.57987400661615729</v>
      </c>
      <c r="J23">
        <f>Table6[[#This Row],[Y Position]]-I22</f>
        <v>2.6881889340442666E-2</v>
      </c>
    </row>
    <row r="24" spans="1:10" x14ac:dyDescent="0.2">
      <c r="A24">
        <f t="shared" si="0"/>
        <v>22</v>
      </c>
      <c r="B24">
        <v>161.56</v>
      </c>
      <c r="C24">
        <f>Table5[[#This Row],[Index]]/$A$29</f>
        <v>0.81481481481481477</v>
      </c>
      <c r="D24">
        <f>Table5[[#This Row],[x coord]]/$N$1</f>
        <v>0.86490148817018631</v>
      </c>
      <c r="F24">
        <f t="shared" si="1"/>
        <v>22</v>
      </c>
      <c r="G24" s="4">
        <v>127.96</v>
      </c>
      <c r="H24">
        <f>Table6[[#This Row],[Index]]/$F$43</f>
        <v>0.53658536585365857</v>
      </c>
      <c r="I24">
        <f>Table6[[#This Row],[y coord]]/$N$2</f>
        <v>0.60453542355062317</v>
      </c>
      <c r="J24">
        <f>Table6[[#This Row],[Y Position]]-I23</f>
        <v>2.4661416934465885E-2</v>
      </c>
    </row>
    <row r="25" spans="1:10" x14ac:dyDescent="0.2">
      <c r="A25">
        <f t="shared" si="0"/>
        <v>23</v>
      </c>
      <c r="B25">
        <v>167.1</v>
      </c>
      <c r="C25">
        <f>Table5[[#This Row],[Index]]/$A$29</f>
        <v>0.85185185185185186</v>
      </c>
      <c r="D25">
        <f>Table5[[#This Row],[x coord]]/$N$1</f>
        <v>0.89455953622950057</v>
      </c>
      <c r="F25">
        <f t="shared" si="1"/>
        <v>23</v>
      </c>
      <c r="G25" s="5">
        <v>132.75</v>
      </c>
      <c r="H25">
        <f>Table6[[#This Row],[Index]]/$F$43</f>
        <v>0.56097560975609762</v>
      </c>
      <c r="I25">
        <f>Table6[[#This Row],[y coord]]/$N$2</f>
        <v>0.627165344454089</v>
      </c>
      <c r="J25">
        <f>Table6[[#This Row],[Y Position]]-I24</f>
        <v>2.2629920903465828E-2</v>
      </c>
    </row>
    <row r="26" spans="1:10" x14ac:dyDescent="0.2">
      <c r="A26">
        <f t="shared" si="0"/>
        <v>24</v>
      </c>
      <c r="B26">
        <v>172.41</v>
      </c>
      <c r="C26">
        <f>Table5[[#This Row],[Index]]/$A$29</f>
        <v>0.88888888888888884</v>
      </c>
      <c r="D26">
        <f>Table5[[#This Row],[x coord]]/$N$1</f>
        <v>0.92298629348490846</v>
      </c>
      <c r="F26">
        <f t="shared" si="1"/>
        <v>24</v>
      </c>
      <c r="G26" s="4">
        <v>137.16999999999999</v>
      </c>
      <c r="H26">
        <f>Table6[[#This Row],[Index]]/$F$43</f>
        <v>0.58536585365853655</v>
      </c>
      <c r="I26">
        <f>Table6[[#This Row],[y coord]]/$N$2</f>
        <v>0.64804723388901986</v>
      </c>
      <c r="J26">
        <f>Table6[[#This Row],[Y Position]]-I25</f>
        <v>2.0881889434930856E-2</v>
      </c>
    </row>
    <row r="27" spans="1:10" x14ac:dyDescent="0.2">
      <c r="A27">
        <f t="shared" si="0"/>
        <v>25</v>
      </c>
      <c r="B27">
        <v>177.03</v>
      </c>
      <c r="C27">
        <f>Table5[[#This Row],[Index]]/$A$29</f>
        <v>0.92592592592592593</v>
      </c>
      <c r="D27">
        <f>Table5[[#This Row],[x coord]]/$N$1</f>
        <v>0.94771917832859665</v>
      </c>
      <c r="F27">
        <f t="shared" si="1"/>
        <v>25</v>
      </c>
      <c r="G27" s="5">
        <v>141.01</v>
      </c>
      <c r="H27">
        <f>Table6[[#This Row],[Index]]/$F$43</f>
        <v>0.6097560975609756</v>
      </c>
      <c r="I27">
        <f>Table6[[#This Row],[y coord]]/$N$2</f>
        <v>0.66618896588678789</v>
      </c>
      <c r="J27">
        <f>Table6[[#This Row],[Y Position]]-I26</f>
        <v>1.8141731997768029E-2</v>
      </c>
    </row>
    <row r="28" spans="1:10" x14ac:dyDescent="0.2">
      <c r="A28">
        <f t="shared" si="0"/>
        <v>26</v>
      </c>
      <c r="B28">
        <v>181.47</v>
      </c>
      <c r="C28">
        <f>Table5[[#This Row],[Index]]/$A$29</f>
        <v>0.96296296296296291</v>
      </c>
      <c r="D28">
        <f>Table5[[#This Row],[x coord]]/$N$1</f>
        <v>0.97148844428227099</v>
      </c>
      <c r="F28">
        <f t="shared" si="1"/>
        <v>26</v>
      </c>
      <c r="G28" s="4">
        <v>144.61000000000001</v>
      </c>
      <c r="H28">
        <f>Table6[[#This Row],[Index]]/$F$43</f>
        <v>0.63414634146341464</v>
      </c>
      <c r="I28">
        <f>Table6[[#This Row],[y coord]]/$N$2</f>
        <v>0.68319683963469546</v>
      </c>
      <c r="J28">
        <f>Table6[[#This Row],[Y Position]]-I27</f>
        <v>1.7007873747907576E-2</v>
      </c>
    </row>
    <row r="29" spans="1:10" x14ac:dyDescent="0.2">
      <c r="A29">
        <f t="shared" si="0"/>
        <v>27</v>
      </c>
      <c r="B29">
        <v>185.33</v>
      </c>
      <c r="C29">
        <f>Table5[[#This Row],[Index]]/$A$29</f>
        <v>1</v>
      </c>
      <c r="D29">
        <f>Table5[[#This Row],[x coord]]/$N$1</f>
        <v>0.99215271603478972</v>
      </c>
      <c r="F29">
        <f t="shared" si="1"/>
        <v>27</v>
      </c>
      <c r="G29" s="5">
        <v>147.34</v>
      </c>
      <c r="H29">
        <f>Table6[[#This Row],[Index]]/$F$43</f>
        <v>0.65853658536585369</v>
      </c>
      <c r="I29">
        <f>Table6[[#This Row],[y coord]]/$N$2</f>
        <v>0.69609447722685858</v>
      </c>
      <c r="J29">
        <f>Table6[[#This Row],[Y Position]]-I28</f>
        <v>1.2897637592163114E-2</v>
      </c>
    </row>
    <row r="30" spans="1:10" x14ac:dyDescent="0.2">
      <c r="F30">
        <f t="shared" si="1"/>
        <v>28</v>
      </c>
      <c r="G30" s="4">
        <v>149.63</v>
      </c>
      <c r="H30">
        <f>Table6[[#This Row],[Index]]/$F$43</f>
        <v>0.68292682926829273</v>
      </c>
      <c r="I30">
        <f>Table6[[#This Row],[y coord]]/$N$2</f>
        <v>0.70691337469427751</v>
      </c>
      <c r="J30">
        <f>Table6[[#This Row],[Y Position]]-I29</f>
        <v>1.0818897467418931E-2</v>
      </c>
    </row>
    <row r="31" spans="1:10" x14ac:dyDescent="0.2">
      <c r="F31">
        <f t="shared" si="1"/>
        <v>29</v>
      </c>
      <c r="G31" s="5">
        <v>151.61000000000001</v>
      </c>
      <c r="H31">
        <f>Table6[[#This Row],[Index]]/$F$43</f>
        <v>0.70731707317073167</v>
      </c>
      <c r="I31">
        <f>Table6[[#This Row],[y coord]]/$N$2</f>
        <v>0.71626770525562666</v>
      </c>
      <c r="J31">
        <f>Table6[[#This Row],[Y Position]]-I30</f>
        <v>9.3543305613491556E-3</v>
      </c>
    </row>
    <row r="32" spans="1:10" x14ac:dyDescent="0.2">
      <c r="F32">
        <f t="shared" si="1"/>
        <v>30</v>
      </c>
      <c r="G32" s="4">
        <v>154.13999999999999</v>
      </c>
      <c r="H32">
        <f>Table6[[#This Row],[Index]]/$F$43</f>
        <v>0.73170731707317072</v>
      </c>
      <c r="I32">
        <f>Table6[[#This Row],[y coord]]/$N$2</f>
        <v>0.72822046097290605</v>
      </c>
      <c r="J32">
        <f>Table6[[#This Row],[Y Position]]-I31</f>
        <v>1.1952755717279384E-2</v>
      </c>
    </row>
    <row r="33" spans="6:10" x14ac:dyDescent="0.2">
      <c r="F33">
        <f t="shared" si="1"/>
        <v>31</v>
      </c>
      <c r="G33" s="5">
        <v>156.83000000000001</v>
      </c>
      <c r="H33">
        <f>Table6[[#This Row],[Index]]/$F$43</f>
        <v>0.75609756097560976</v>
      </c>
      <c r="I33">
        <f>Table6[[#This Row],[y coord]]/$N$2</f>
        <v>0.74092912219009255</v>
      </c>
      <c r="J33">
        <f>Table6[[#This Row],[Y Position]]-I32</f>
        <v>1.2708661217186501E-2</v>
      </c>
    </row>
    <row r="34" spans="6:10" x14ac:dyDescent="0.2">
      <c r="F34">
        <f t="shared" si="1"/>
        <v>32</v>
      </c>
      <c r="G34" s="4">
        <v>160.27000000000001</v>
      </c>
      <c r="H34">
        <f>Table6[[#This Row],[Index]]/$F$43</f>
        <v>0.78048780487804881</v>
      </c>
      <c r="I34">
        <f>Table6[[#This Row],[y coord]]/$N$2</f>
        <v>0.75718109043809312</v>
      </c>
      <c r="J34">
        <f>Table6[[#This Row],[Y Position]]-I33</f>
        <v>1.625196824800057E-2</v>
      </c>
    </row>
    <row r="35" spans="6:10" x14ac:dyDescent="0.2">
      <c r="F35">
        <f t="shared" si="1"/>
        <v>33</v>
      </c>
      <c r="G35" s="5">
        <v>164.22</v>
      </c>
      <c r="H35">
        <f>Table6[[#This Row],[Index]]/$F$43</f>
        <v>0.80487804878048785</v>
      </c>
      <c r="I35">
        <f>Table6[[#This Row],[y coord]]/$N$2</f>
        <v>0.77584250746704708</v>
      </c>
      <c r="J35">
        <f>Table6[[#This Row],[Y Position]]-I34</f>
        <v>1.8661417028953964E-2</v>
      </c>
    </row>
    <row r="36" spans="6:10" x14ac:dyDescent="0.2">
      <c r="F36">
        <f t="shared" si="1"/>
        <v>34</v>
      </c>
      <c r="G36" s="4">
        <v>168.45</v>
      </c>
      <c r="H36">
        <f>Table6[[#This Row],[Index]]/$F$43</f>
        <v>0.82926829268292679</v>
      </c>
      <c r="I36">
        <f>Table6[[#This Row],[y coord]]/$N$2</f>
        <v>0.79582675912083833</v>
      </c>
      <c r="J36">
        <f>Table6[[#This Row],[Y Position]]-I35</f>
        <v>1.9984251653791252E-2</v>
      </c>
    </row>
    <row r="37" spans="6:10" x14ac:dyDescent="0.2">
      <c r="F37">
        <f t="shared" si="1"/>
        <v>35</v>
      </c>
      <c r="G37" s="5">
        <v>173.2</v>
      </c>
      <c r="H37">
        <f>Table6[[#This Row],[Index]]/$F$43</f>
        <v>0.85365853658536583</v>
      </c>
      <c r="I37">
        <f>Table6[[#This Row],[y coord]]/$N$2</f>
        <v>0.81826770364932744</v>
      </c>
      <c r="J37">
        <f>Table6[[#This Row],[Y Position]]-I36</f>
        <v>2.2440944528489104E-2</v>
      </c>
    </row>
    <row r="38" spans="6:10" x14ac:dyDescent="0.2">
      <c r="F38">
        <f t="shared" si="1"/>
        <v>36</v>
      </c>
      <c r="G38" s="4">
        <v>178.62</v>
      </c>
      <c r="H38">
        <f>Table6[[#This Row],[Index]]/$F$43</f>
        <v>0.87804878048780488</v>
      </c>
      <c r="I38">
        <f>Table6[[#This Row],[y coord]]/$N$2</f>
        <v>0.84387400245867705</v>
      </c>
      <c r="J38">
        <f>Table6[[#This Row],[Y Position]]-I37</f>
        <v>2.5606298809349615E-2</v>
      </c>
    </row>
    <row r="39" spans="6:10" x14ac:dyDescent="0.2">
      <c r="F39">
        <f t="shared" si="1"/>
        <v>37</v>
      </c>
      <c r="G39" s="5">
        <v>184.43</v>
      </c>
      <c r="H39">
        <f>Table6[[#This Row],[Index]]/$F$43</f>
        <v>0.90243902439024393</v>
      </c>
      <c r="I39">
        <f>Table6[[#This Row],[y coord]]/$N$2</f>
        <v>0.87132282092405</v>
      </c>
      <c r="J39">
        <f>Table6[[#This Row],[Y Position]]-I38</f>
        <v>2.7448818465372948E-2</v>
      </c>
    </row>
    <row r="40" spans="6:10" x14ac:dyDescent="0.2">
      <c r="F40">
        <f t="shared" si="1"/>
        <v>38</v>
      </c>
      <c r="G40" s="4">
        <v>190.52</v>
      </c>
      <c r="H40">
        <f>Table6[[#This Row],[Index]]/$F$43</f>
        <v>0.92682926829268297</v>
      </c>
      <c r="I40">
        <f>Table6[[#This Row],[y coord]]/$N$2</f>
        <v>0.90009447401426024</v>
      </c>
      <c r="J40">
        <f>Table6[[#This Row],[Y Position]]-I39</f>
        <v>2.8771653090210236E-2</v>
      </c>
    </row>
    <row r="41" spans="6:10" x14ac:dyDescent="0.2">
      <c r="F41">
        <f t="shared" si="1"/>
        <v>39</v>
      </c>
      <c r="G41" s="5">
        <v>197.48</v>
      </c>
      <c r="H41">
        <f>Table6[[#This Row],[Index]]/$F$43</f>
        <v>0.95121951219512191</v>
      </c>
      <c r="I41">
        <f>Table6[[#This Row],[y coord]]/$N$2</f>
        <v>0.9329763632602146</v>
      </c>
      <c r="J41">
        <f>Table6[[#This Row],[Y Position]]-I40</f>
        <v>3.2881889245954365E-2</v>
      </c>
    </row>
    <row r="42" spans="6:10" x14ac:dyDescent="0.2">
      <c r="F42">
        <f t="shared" si="1"/>
        <v>40</v>
      </c>
      <c r="G42" s="4">
        <v>204.56</v>
      </c>
      <c r="H42">
        <f>Table6[[#This Row],[Index]]/$F$43</f>
        <v>0.97560975609756095</v>
      </c>
      <c r="I42">
        <f>Table6[[#This Row],[y coord]]/$N$2</f>
        <v>0.96642518163109947</v>
      </c>
      <c r="J42">
        <f>Table6[[#This Row],[Y Position]]-I41</f>
        <v>3.344881837088487E-2</v>
      </c>
    </row>
    <row r="43" spans="6:10" x14ac:dyDescent="0.2">
      <c r="F43">
        <f t="shared" si="1"/>
        <v>41</v>
      </c>
      <c r="G43" s="5">
        <v>211.56</v>
      </c>
      <c r="H43">
        <f>Table6[[#This Row],[Index]]/$F$43</f>
        <v>1</v>
      </c>
      <c r="I43">
        <f>Table6[[#This Row],[y coord]]/$N$2</f>
        <v>0.99949604725203067</v>
      </c>
      <c r="J43">
        <f>Table6[[#This Row],[Y Position]]-I42</f>
        <v>3.30708656209312E-2</v>
      </c>
    </row>
  </sheetData>
  <pageMargins left="0.7" right="0.7" top="0.75" bottom="0.75" header="0.3" footer="0.3"/>
  <pageSetup paperSize="9" orientation="portrait" horizontalDpi="0" verticalDpi="0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CA6B5-9F4B-4B3C-AF3D-2D5DE869C1B5}">
  <dimension ref="A1:P17"/>
  <sheetViews>
    <sheetView tabSelected="1" zoomScale="76" workbookViewId="0">
      <selection activeCell="P12" sqref="P12"/>
    </sheetView>
  </sheetViews>
  <sheetFormatPr baseColWidth="10" defaultColWidth="8.83203125" defaultRowHeight="16" x14ac:dyDescent="0.2"/>
  <cols>
    <col min="1" max="1" width="13.1640625" customWidth="1"/>
    <col min="2" max="2" width="22.83203125" customWidth="1"/>
    <col min="4" max="4" width="14.1640625" bestFit="1" customWidth="1"/>
    <col min="7" max="7" width="9.1640625" bestFit="1" customWidth="1"/>
    <col min="8" max="8" width="15.6640625" customWidth="1"/>
    <col min="9" max="9" width="15.33203125" customWidth="1"/>
    <col min="11" max="12" width="18.1640625" bestFit="1" customWidth="1"/>
  </cols>
  <sheetData>
    <row r="1" spans="1:1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</row>
    <row r="2" spans="1:16" x14ac:dyDescent="0.2">
      <c r="A2">
        <v>0</v>
      </c>
      <c r="B2">
        <f>A2/8</f>
        <v>0</v>
      </c>
      <c r="C2">
        <v>194.45273</v>
      </c>
      <c r="D2">
        <v>207.26987</v>
      </c>
      <c r="E2">
        <v>9.8289003000000008</v>
      </c>
      <c r="F2">
        <v>194.52</v>
      </c>
      <c r="G2">
        <v>217.01</v>
      </c>
      <c r="H2">
        <f>(C2-$B$16)/$B$14</f>
        <v>0.47377520671079504</v>
      </c>
      <c r="I2">
        <f>(D2-$B$17)/$B$15</f>
        <v>0.53048456848309999</v>
      </c>
      <c r="J2">
        <f>Table4[[#This Row],[r]]/$B$14</f>
        <v>3.3148261140394042E-2</v>
      </c>
      <c r="K2">
        <f>(F2-$B$16)/$B$14</f>
        <v>0.47400207680397471</v>
      </c>
      <c r="L2">
        <f t="shared" ref="L2:L10" si="0">(G2-$B$17)/$B$15</f>
        <v>0.56333344912353001</v>
      </c>
      <c r="M2">
        <f>Table4[[#This Row],[Point x]]-Table4[[#This Row],[cx]]</f>
        <v>6.7270000000007713E-2</v>
      </c>
      <c r="N2">
        <f>Table4[[#This Row],[Point y]]-Table4[[#This Row],[cy]]</f>
        <v>9.7401299999999935</v>
      </c>
      <c r="O2">
        <f>ATAN2(Table4[[#This Row],[Vector x]], Table4[[#This Row],[Vector y]])</f>
        <v>1.5638899579425294</v>
      </c>
      <c r="P2" t="e">
        <f>Table4[[#This Row],[Angle]]-O1</f>
        <v>#VALUE!</v>
      </c>
    </row>
    <row r="3" spans="1:16" x14ac:dyDescent="0.2">
      <c r="A3">
        <f>A2+1</f>
        <v>1</v>
      </c>
      <c r="B3">
        <f t="shared" ref="B3:B10" si="1">A3/8</f>
        <v>0.125</v>
      </c>
      <c r="C3">
        <v>193.96831</v>
      </c>
      <c r="D3">
        <v>206.92115999999999</v>
      </c>
      <c r="E3">
        <v>18.422820999999999</v>
      </c>
      <c r="F3">
        <v>195.02</v>
      </c>
      <c r="G3">
        <v>225.43</v>
      </c>
      <c r="H3">
        <f t="shared" ref="H3:H10" si="2">(C3-$B$16)/$B$14</f>
        <v>0.4721414857276216</v>
      </c>
      <c r="I3">
        <f t="shared" ref="I3:I10" si="3">(D3-$B$17)/$B$15</f>
        <v>0.52930853354638718</v>
      </c>
      <c r="J3">
        <f>Table4[[#This Row],[r]]/$B$14</f>
        <v>6.2131516528938155E-2</v>
      </c>
      <c r="K3">
        <f t="shared" ref="K3:K10" si="4">(F3-$B$16)/$B$14</f>
        <v>0.47568834180456659</v>
      </c>
      <c r="L3">
        <f t="shared" si="0"/>
        <v>0.5917301517334973</v>
      </c>
      <c r="M3">
        <f>Table4[[#This Row],[Point x]]-Table4[[#This Row],[cx]]</f>
        <v>1.0516900000000078</v>
      </c>
      <c r="N3">
        <f>Table4[[#This Row],[Point y]]-Table4[[#This Row],[cy]]</f>
        <v>18.508840000000021</v>
      </c>
      <c r="O3">
        <f>ATAN2(Table4[[#This Row],[Vector x]], Table4[[#This Row],[Vector y]])</f>
        <v>1.5140364028165025</v>
      </c>
      <c r="P3">
        <f>Table4[[#This Row],[Angle]]-O2</f>
        <v>-4.9853555126026849E-2</v>
      </c>
    </row>
    <row r="4" spans="1:16" x14ac:dyDescent="0.2">
      <c r="A4">
        <f t="shared" ref="A4:A10" si="5">A3+1</f>
        <v>2</v>
      </c>
      <c r="B4">
        <f t="shared" si="1"/>
        <v>0.25</v>
      </c>
      <c r="C4">
        <v>186.39648</v>
      </c>
      <c r="D4">
        <v>212.4418</v>
      </c>
      <c r="E4">
        <v>38.126766000000003</v>
      </c>
      <c r="F4">
        <v>201.55</v>
      </c>
      <c r="G4">
        <v>247.72</v>
      </c>
      <c r="H4">
        <f t="shared" si="2"/>
        <v>0.44660526188875838</v>
      </c>
      <c r="I4">
        <f t="shared" si="3"/>
        <v>0.54792705757212234</v>
      </c>
      <c r="J4">
        <f>Table4[[#This Row],[r]]/$B$14</f>
        <v>0.12858366218311287</v>
      </c>
      <c r="K4">
        <f t="shared" si="4"/>
        <v>0.49771096271229653</v>
      </c>
      <c r="L4">
        <f t="shared" si="0"/>
        <v>0.66690384545988324</v>
      </c>
      <c r="M4">
        <f>Table4[[#This Row],[Point x]]-Table4[[#This Row],[cx]]</f>
        <v>15.153520000000015</v>
      </c>
      <c r="N4">
        <f>Table4[[#This Row],[Point y]]-Table4[[#This Row],[cy]]</f>
        <v>35.278199999999998</v>
      </c>
      <c r="O4">
        <f>ATAN2(Table4[[#This Row],[Vector x]], Table4[[#This Row],[Vector y]])</f>
        <v>1.1650836328092158</v>
      </c>
      <c r="P4">
        <f>Table4[[#This Row],[Angle]]-O3</f>
        <v>-0.34895277000728675</v>
      </c>
    </row>
    <row r="5" spans="1:16" x14ac:dyDescent="0.2">
      <c r="A5">
        <f t="shared" si="5"/>
        <v>3</v>
      </c>
      <c r="B5">
        <f t="shared" si="1"/>
        <v>0.375</v>
      </c>
      <c r="C5">
        <v>178.69621000000001</v>
      </c>
      <c r="D5">
        <v>207.38835</v>
      </c>
      <c r="E5">
        <v>56.179713999999997</v>
      </c>
      <c r="F5">
        <v>181.8</v>
      </c>
      <c r="G5">
        <v>264.23</v>
      </c>
      <c r="H5">
        <f t="shared" si="2"/>
        <v>0.4206358702965432</v>
      </c>
      <c r="I5">
        <f t="shared" si="3"/>
        <v>0.53088414583764032</v>
      </c>
      <c r="J5">
        <f>Table4[[#This Row],[r]]/$B$14</f>
        <v>0.18946777092292316</v>
      </c>
      <c r="K5">
        <f t="shared" si="4"/>
        <v>0.43110349518891733</v>
      </c>
      <c r="L5">
        <f t="shared" si="0"/>
        <v>0.72258431577942706</v>
      </c>
      <c r="M5">
        <f>Table4[[#This Row],[Point x]]-Table4[[#This Row],[cx]]</f>
        <v>3.1037900000000036</v>
      </c>
      <c r="N5">
        <f>Table4[[#This Row],[Point y]]-Table4[[#This Row],[cy]]</f>
        <v>56.841650000000016</v>
      </c>
      <c r="O5">
        <f>ATAN2(Table4[[#This Row],[Vector x]], Table4[[#This Row],[Vector y]])</f>
        <v>1.5162463490987104</v>
      </c>
      <c r="P5">
        <f>Table4[[#This Row],[Angle]]-O4</f>
        <v>0.35116271628949458</v>
      </c>
    </row>
    <row r="6" spans="1:16" x14ac:dyDescent="0.2">
      <c r="A6">
        <f t="shared" si="5"/>
        <v>4</v>
      </c>
      <c r="B6">
        <f t="shared" si="1"/>
        <v>0.5</v>
      </c>
      <c r="C6">
        <v>177.33931999999999</v>
      </c>
      <c r="D6">
        <v>196.70196999999999</v>
      </c>
      <c r="E6">
        <v>74.452820000000003</v>
      </c>
      <c r="F6">
        <v>205.09</v>
      </c>
      <c r="G6">
        <v>266.42</v>
      </c>
      <c r="H6">
        <f t="shared" si="2"/>
        <v>0.41605971806323688</v>
      </c>
      <c r="I6">
        <f t="shared" si="3"/>
        <v>0.49484400868359019</v>
      </c>
      <c r="J6">
        <f>Table4[[#This Row],[r]]/$B$14</f>
        <v>0.25109436912273414</v>
      </c>
      <c r="K6">
        <f t="shared" si="4"/>
        <v>0.50964971891648703</v>
      </c>
      <c r="L6">
        <f t="shared" si="0"/>
        <v>0.72997015648201957</v>
      </c>
      <c r="M6">
        <f>Table4[[#This Row],[Point x]]-Table4[[#This Row],[cx]]</f>
        <v>27.750680000000017</v>
      </c>
      <c r="N6">
        <f>Table4[[#This Row],[Point y]]-Table4[[#This Row],[cy]]</f>
        <v>69.718030000000027</v>
      </c>
      <c r="O6">
        <f>ATAN2(Table4[[#This Row],[Vector x]], Table4[[#This Row],[Vector y]])</f>
        <v>1.1919793178916549</v>
      </c>
      <c r="P6">
        <f>Table4[[#This Row],[Angle]]-O5</f>
        <v>-0.32426703120705547</v>
      </c>
    </row>
    <row r="7" spans="1:16" x14ac:dyDescent="0.2">
      <c r="A7">
        <f t="shared" si="5"/>
        <v>5</v>
      </c>
      <c r="B7">
        <f t="shared" si="1"/>
        <v>0.625</v>
      </c>
      <c r="C7">
        <v>183.46475000000001</v>
      </c>
      <c r="D7">
        <v>188.90540999999999</v>
      </c>
      <c r="E7">
        <v>93.606560000000002</v>
      </c>
      <c r="F7">
        <v>195.87</v>
      </c>
      <c r="G7">
        <v>281.83</v>
      </c>
      <c r="H7">
        <f t="shared" si="2"/>
        <v>0.43671791450838798</v>
      </c>
      <c r="I7">
        <f t="shared" si="3"/>
        <v>0.46854987617756094</v>
      </c>
      <c r="J7">
        <f>Table4[[#This Row],[r]]/$B$14</f>
        <v>0.3156909319076075</v>
      </c>
      <c r="K7">
        <f t="shared" si="4"/>
        <v>0.4785549923055728</v>
      </c>
      <c r="L7">
        <f t="shared" si="0"/>
        <v>0.78194084380026108</v>
      </c>
      <c r="M7">
        <f>Table4[[#This Row],[Point x]]-Table4[[#This Row],[cx]]</f>
        <v>12.405249999999995</v>
      </c>
      <c r="N7">
        <f>Table4[[#This Row],[Point y]]-Table4[[#This Row],[cy]]</f>
        <v>92.924589999999995</v>
      </c>
      <c r="O7">
        <f>ATAN2(Table4[[#This Row],[Vector x]], Table4[[#This Row],[Vector y]])</f>
        <v>1.4380829749877067</v>
      </c>
      <c r="P7">
        <f>Table4[[#This Row],[Angle]]-O6</f>
        <v>0.24610365709605175</v>
      </c>
    </row>
    <row r="8" spans="1:16" x14ac:dyDescent="0.2">
      <c r="A8">
        <f t="shared" si="5"/>
        <v>6</v>
      </c>
      <c r="B8">
        <f t="shared" si="1"/>
        <v>0.75</v>
      </c>
      <c r="C8">
        <v>191.36472000000001</v>
      </c>
      <c r="D8">
        <v>186.87128000000001</v>
      </c>
      <c r="E8">
        <v>112.28111</v>
      </c>
      <c r="F8">
        <v>238.9</v>
      </c>
      <c r="G8">
        <v>288.20999999999998</v>
      </c>
      <c r="H8">
        <f t="shared" si="2"/>
        <v>0.46336080034183963</v>
      </c>
      <c r="I8">
        <f t="shared" si="3"/>
        <v>0.46168971172625312</v>
      </c>
      <c r="J8">
        <f>Table4[[#This Row],[r]]/$B$14</f>
        <v>0.37867141204121363</v>
      </c>
      <c r="K8">
        <f t="shared" si="4"/>
        <v>0.62367495825650987</v>
      </c>
      <c r="L8">
        <f t="shared" si="0"/>
        <v>0.80345758520781352</v>
      </c>
      <c r="M8">
        <f>Table4[[#This Row],[Point x]]-Table4[[#This Row],[cx]]</f>
        <v>47.53528</v>
      </c>
      <c r="N8">
        <f>Table4[[#This Row],[Point y]]-Table4[[#This Row],[cy]]</f>
        <v>101.33871999999997</v>
      </c>
      <c r="O8">
        <f>ATAN2(Table4[[#This Row],[Vector x]], Table4[[#This Row],[Vector y]])</f>
        <v>1.1321948036186784</v>
      </c>
      <c r="P8">
        <f>Table4[[#This Row],[Angle]]-O7</f>
        <v>-0.30588817136902824</v>
      </c>
    </row>
    <row r="9" spans="1:16" x14ac:dyDescent="0.2">
      <c r="A9">
        <f t="shared" si="5"/>
        <v>7</v>
      </c>
      <c r="B9">
        <f t="shared" si="1"/>
        <v>0.875</v>
      </c>
      <c r="C9">
        <v>201.67407</v>
      </c>
      <c r="D9">
        <v>190.61722</v>
      </c>
      <c r="E9">
        <v>130.26596000000001</v>
      </c>
      <c r="F9">
        <v>222.89</v>
      </c>
      <c r="G9">
        <v>318.98</v>
      </c>
      <c r="H9">
        <f t="shared" si="2"/>
        <v>0.49812939250954336</v>
      </c>
      <c r="I9">
        <f t="shared" si="3"/>
        <v>0.47432300675888733</v>
      </c>
      <c r="J9">
        <f>Table4[[#This Row],[r]]/$B$14</f>
        <v>0.43932585823300335</v>
      </c>
      <c r="K9">
        <f t="shared" si="4"/>
        <v>0.56968075293755782</v>
      </c>
      <c r="L9">
        <f t="shared" si="0"/>
        <v>0.90723033334423775</v>
      </c>
      <c r="M9">
        <f>Table4[[#This Row],[Point x]]-Table4[[#This Row],[cx]]</f>
        <v>21.215929999999986</v>
      </c>
      <c r="N9">
        <f>Table4[[#This Row],[Point y]]-Table4[[#This Row],[cy]]</f>
        <v>128.36278000000001</v>
      </c>
      <c r="O9">
        <f>ATAN2(Table4[[#This Row],[Vector x]], Table4[[#This Row],[Vector y]])</f>
        <v>1.4069961574906855</v>
      </c>
      <c r="P9">
        <f>Table4[[#This Row],[Angle]]-O8</f>
        <v>0.2748013538720071</v>
      </c>
    </row>
    <row r="10" spans="1:16" x14ac:dyDescent="0.2">
      <c r="A10">
        <f t="shared" si="5"/>
        <v>8</v>
      </c>
      <c r="B10">
        <f t="shared" si="1"/>
        <v>1</v>
      </c>
      <c r="C10">
        <v>202.22873000000001</v>
      </c>
      <c r="D10">
        <v>198.23079000000001</v>
      </c>
      <c r="E10">
        <v>148.25665000000001</v>
      </c>
      <c r="F10">
        <v>272.51</v>
      </c>
      <c r="G10">
        <v>330.15</v>
      </c>
      <c r="H10">
        <f t="shared" si="2"/>
        <v>0.5</v>
      </c>
      <c r="I10">
        <f t="shared" si="3"/>
        <v>0.5</v>
      </c>
      <c r="J10">
        <f>Table4[[#This Row],[r]]/$B$14</f>
        <v>0.5</v>
      </c>
      <c r="K10">
        <f t="shared" si="4"/>
        <v>0.73702569159629594</v>
      </c>
      <c r="L10">
        <f t="shared" si="0"/>
        <v>0.94490149345746022</v>
      </c>
      <c r="M10">
        <f>Table4[[#This Row],[Point x]]-Table4[[#This Row],[cx]]</f>
        <v>70.281269999999978</v>
      </c>
      <c r="N10">
        <f>Table4[[#This Row],[Point y]]-Table4[[#This Row],[cy]]</f>
        <v>131.91920999999996</v>
      </c>
      <c r="O10">
        <f>ATAN2(Table4[[#This Row],[Vector x]], Table4[[#This Row],[Vector y]])</f>
        <v>1.0812855227050124</v>
      </c>
      <c r="P10">
        <f>Table4[[#This Row],[Angle]]-O9</f>
        <v>-0.32571063478567308</v>
      </c>
    </row>
    <row r="13" spans="1:16" x14ac:dyDescent="0.2">
      <c r="C13" t="s">
        <v>22</v>
      </c>
    </row>
    <row r="14" spans="1:16" x14ac:dyDescent="0.2">
      <c r="A14" t="s">
        <v>23</v>
      </c>
      <c r="B14">
        <f>2*E10</f>
        <v>296.51330000000002</v>
      </c>
      <c r="D14" t="s">
        <v>24</v>
      </c>
      <c r="E14">
        <f>72*2</f>
        <v>144</v>
      </c>
    </row>
    <row r="15" spans="1:16" x14ac:dyDescent="0.2">
      <c r="A15" t="s">
        <v>25</v>
      </c>
      <c r="B15">
        <f>2*E10</f>
        <v>296.51330000000002</v>
      </c>
    </row>
    <row r="16" spans="1:16" x14ac:dyDescent="0.2">
      <c r="A16" t="s">
        <v>26</v>
      </c>
      <c r="B16">
        <f>C10-E10</f>
        <v>53.972080000000005</v>
      </c>
    </row>
    <row r="17" spans="1:2" x14ac:dyDescent="0.2">
      <c r="A17" t="s">
        <v>27</v>
      </c>
      <c r="B17">
        <f>D10-E10</f>
        <v>49.974140000000006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796C1-F9A3-4A01-8A34-AF2323D7338A}">
  <dimension ref="A1:Z37"/>
  <sheetViews>
    <sheetView zoomScale="83" zoomScaleNormal="65" workbookViewId="0">
      <selection activeCell="M3" sqref="M3"/>
    </sheetView>
  </sheetViews>
  <sheetFormatPr baseColWidth="10" defaultColWidth="8.83203125" defaultRowHeight="15.75" customHeight="1" x14ac:dyDescent="0.2"/>
  <cols>
    <col min="1" max="1" width="10.33203125" bestFit="1" customWidth="1"/>
    <col min="2" max="2" width="10.33203125" customWidth="1"/>
    <col min="4" max="4" width="18" bestFit="1" customWidth="1"/>
    <col min="6" max="6" width="12" bestFit="1" customWidth="1"/>
    <col min="7" max="7" width="20.83203125" bestFit="1" customWidth="1"/>
    <col min="8" max="8" width="9.6640625" bestFit="1" customWidth="1"/>
    <col min="9" max="10" width="9.6640625" customWidth="1"/>
    <col min="12" max="12" width="22.5" bestFit="1" customWidth="1"/>
    <col min="13" max="13" width="22.5" customWidth="1"/>
  </cols>
  <sheetData>
    <row r="1" spans="1:26" ht="34" x14ac:dyDescent="0.2">
      <c r="A1" t="s">
        <v>0</v>
      </c>
      <c r="B1" s="2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s="2" t="s">
        <v>35</v>
      </c>
      <c r="J1" s="2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V1" t="s">
        <v>42</v>
      </c>
      <c r="Z1" t="s">
        <v>43</v>
      </c>
    </row>
    <row r="2" spans="1:26" ht="16" x14ac:dyDescent="0.2">
      <c r="A2">
        <v>0</v>
      </c>
      <c r="B2">
        <f>Table2[[#This Row],[Index]]/29</f>
        <v>0</v>
      </c>
      <c r="C2">
        <v>8.8699999999999992</v>
      </c>
      <c r="D2">
        <f>Table2[[#This Row],[Peak x]]/215.9</f>
        <v>4.1083835108846681E-2</v>
      </c>
      <c r="E2">
        <v>44.22</v>
      </c>
      <c r="F2">
        <f>((Table2[[#This Row],[Peak y]]-$E$2)/(Table2[[#Totals],[Normalised Time period]]*215.9))*2*PI()</f>
        <v>0</v>
      </c>
      <c r="G2">
        <f>MOD(Table2[[#This Row],[Phase diff]] + PI(), 2*PI())-PI()</f>
        <v>0</v>
      </c>
      <c r="H2">
        <v>0.19</v>
      </c>
      <c r="I2">
        <f>Table2[[#This Row],[Trough x]]/215.9</f>
        <v>8.8003705419175543E-4</v>
      </c>
      <c r="J2">
        <f>(Table2[[#This Row],[Normalised peak x]]-Table2[[#This Row],[Normalised trough x]])/2</f>
        <v>2.0101899027327463E-2</v>
      </c>
      <c r="K2">
        <v>104.58</v>
      </c>
      <c r="L2">
        <f>ABS(Table2[[#This Row],[Second peak y]]-Table2[[#This Row],[Peak y]])/215.9</f>
        <v>0.27957387679481238</v>
      </c>
      <c r="M2">
        <v>0</v>
      </c>
      <c r="N2">
        <f>Table2[[#This Row],[Normalised phase diff]]+Table2[[#This Row],[Column1]]</f>
        <v>0</v>
      </c>
      <c r="O2">
        <f>$W$14-ABS($W$15*Table2[[#This Row],[Normalised index]] - $W$14)</f>
        <v>0</v>
      </c>
      <c r="V2">
        <f>104.84-44.22</f>
        <v>60.620000000000005</v>
      </c>
    </row>
    <row r="3" spans="1:26" ht="16" x14ac:dyDescent="0.2">
      <c r="A3">
        <f>A2+1</f>
        <v>1</v>
      </c>
      <c r="B3">
        <f>Table2[[#This Row],[Index]]/29</f>
        <v>3.4482758620689655E-2</v>
      </c>
      <c r="C3">
        <v>17.45</v>
      </c>
      <c r="D3">
        <f>Table2[[#This Row],[Peak x]]/215.9</f>
        <v>8.0824455766558584E-2</v>
      </c>
      <c r="E3">
        <v>51.47</v>
      </c>
      <c r="F3">
        <f>((Table2[[#This Row],[Peak y]]-$E$2)/(Table2[[#Totals],[Normalised Time period]]*215.9))*2*PI()</f>
        <v>0.74973408839928257</v>
      </c>
      <c r="G3">
        <f>MOD(Table2[[#This Row],[Phase diff]] + PI(), 2*PI())-PI()</f>
        <v>0.74973408839928268</v>
      </c>
      <c r="H3">
        <v>9.06</v>
      </c>
      <c r="I3">
        <f>Table2[[#This Row],[Trough x]]/215.9</f>
        <v>4.1963872163038443E-2</v>
      </c>
      <c r="J3">
        <f>(Table2[[#This Row],[Normalised peak x]]-Table2[[#This Row],[Normalised trough x]])/2</f>
        <v>1.943029180176007E-2</v>
      </c>
      <c r="K3">
        <v>113.08</v>
      </c>
      <c r="L3">
        <f>ABS(Table2[[#This Row],[Second peak y]]-Table2[[#This Row],[Peak y]])/215.9</f>
        <v>0.28536359425660029</v>
      </c>
      <c r="M3">
        <v>0</v>
      </c>
      <c r="N3">
        <f>Table2[[#This Row],[Normalised phase diff]]+Table2[[#This Row],[Column1]]</f>
        <v>0.74973408839928268</v>
      </c>
      <c r="O3">
        <f>$W$14-ABS($W$15*Table2[[#This Row],[Normalised index]] - $W$14)</f>
        <v>0.8275862068965516</v>
      </c>
      <c r="V3">
        <f>113.31-51.47</f>
        <v>61.84</v>
      </c>
      <c r="X3" t="s">
        <v>44</v>
      </c>
    </row>
    <row r="4" spans="1:26" ht="16" x14ac:dyDescent="0.2">
      <c r="A4">
        <f t="shared" ref="A4:A31" si="0">A3+1</f>
        <v>2</v>
      </c>
      <c r="B4">
        <f>Table2[[#This Row],[Index]]/29</f>
        <v>6.8965517241379309E-2</v>
      </c>
      <c r="C4">
        <v>25</v>
      </c>
      <c r="D4">
        <f>Table2[[#This Row],[Peak x]]/215.9</f>
        <v>0.11579434923575729</v>
      </c>
      <c r="E4">
        <v>60.05</v>
      </c>
      <c r="F4">
        <f>((Table2[[#This Row],[Peak y]]-$E$2)/(Table2[[#Totals],[Normalised Time period]]*215.9))*2*PI()</f>
        <v>1.6370056026704332</v>
      </c>
      <c r="G4">
        <f>MOD(Table2[[#This Row],[Phase diff]] + PI(), 2*PI())-PI()</f>
        <v>1.6370056026704329</v>
      </c>
      <c r="H4">
        <v>16.61</v>
      </c>
      <c r="I4">
        <f>Table2[[#This Row],[Trough x]]/215.9</f>
        <v>7.6933765632237139E-2</v>
      </c>
      <c r="J4">
        <f>(Table2[[#This Row],[Normalised peak x]]-Table2[[#This Row],[Normalised trough x]])/2</f>
        <v>1.9430291801760077E-2</v>
      </c>
      <c r="K4">
        <v>120.25</v>
      </c>
      <c r="L4">
        <f>ABS(Table2[[#This Row],[Second peak y]]-Table2[[#This Row],[Peak y]])/215.9</f>
        <v>0.27883279295970359</v>
      </c>
      <c r="M4">
        <v>0</v>
      </c>
      <c r="N4">
        <f>Table2[[#This Row],[Normalised phase diff]]+Table2[[#This Row],[Column1]]</f>
        <v>1.6370056026704329</v>
      </c>
      <c r="O4">
        <f>$W$14-ABS($W$15*Table2[[#This Row],[Normalised index]] - $W$14)</f>
        <v>1.6551724137931032</v>
      </c>
      <c r="V4">
        <f>120.37-60.05</f>
        <v>60.320000000000007</v>
      </c>
      <c r="X4">
        <v>61</v>
      </c>
    </row>
    <row r="5" spans="1:26" ht="16" x14ac:dyDescent="0.2">
      <c r="A5">
        <f t="shared" si="0"/>
        <v>3</v>
      </c>
      <c r="B5">
        <f>Table2[[#This Row],[Index]]/29</f>
        <v>0.10344827586206896</v>
      </c>
      <c r="C5">
        <v>33.57</v>
      </c>
      <c r="D5">
        <f>Table2[[#This Row],[Peak x]]/215.9</f>
        <v>0.15548865215377489</v>
      </c>
      <c r="E5">
        <v>68.33</v>
      </c>
      <c r="F5">
        <f>((Table2[[#This Row],[Peak y]]-$E$2)/(Table2[[#Totals],[Normalised Time period]]*215.9))*2*PI()</f>
        <v>2.4932536374216139</v>
      </c>
      <c r="G5">
        <f>MOD(Table2[[#This Row],[Phase diff]] + PI(), 2*PI())-PI()</f>
        <v>2.4932536374216134</v>
      </c>
      <c r="H5">
        <v>24.92</v>
      </c>
      <c r="I5">
        <f>Table2[[#This Row],[Trough x]]/215.9</f>
        <v>0.11542380731820287</v>
      </c>
      <c r="J5">
        <f>(Table2[[#This Row],[Normalised peak x]]-Table2[[#This Row],[Normalised trough x]])/2</f>
        <v>2.0032422417786008E-2</v>
      </c>
      <c r="K5">
        <v>128.56</v>
      </c>
      <c r="L5">
        <f>ABS(Table2[[#This Row],[Second peak y]]-Table2[[#This Row],[Peak y]])/215.9</f>
        <v>0.27897174617878651</v>
      </c>
      <c r="M5">
        <v>0</v>
      </c>
      <c r="N5">
        <f>Table2[[#This Row],[Normalised phase diff]]+Table2[[#This Row],[Column1]]</f>
        <v>2.4932536374216134</v>
      </c>
      <c r="O5">
        <f>$W$14-ABS($W$15*Table2[[#This Row],[Normalised index]] - $W$14)</f>
        <v>2.4827586206896548</v>
      </c>
      <c r="V5">
        <f>129.02-68.33</f>
        <v>60.690000000000012</v>
      </c>
      <c r="X5">
        <f>X4/215.9</f>
        <v>0.28253821213524777</v>
      </c>
    </row>
    <row r="6" spans="1:26" ht="16" x14ac:dyDescent="0.2">
      <c r="A6">
        <f t="shared" si="0"/>
        <v>4</v>
      </c>
      <c r="B6">
        <f>Table2[[#This Row],[Index]]/29</f>
        <v>0.13793103448275862</v>
      </c>
      <c r="C6">
        <v>39.93</v>
      </c>
      <c r="D6">
        <f>Table2[[#This Row],[Peak x]]/215.9</f>
        <v>0.18494673459935154</v>
      </c>
      <c r="E6">
        <v>75.87</v>
      </c>
      <c r="F6">
        <f>((Table2[[#This Row],[Peak y]]-$E$2)/(Table2[[#Totals],[Normalised Time period]]*215.9))*2*PI()</f>
        <v>3.2729770893568686</v>
      </c>
      <c r="G6">
        <f>MOD(Table2[[#This Row],[Phase diff]] + PI(), 2*PI())-PI()</f>
        <v>-3.0102082178227176</v>
      </c>
      <c r="H6">
        <v>31.34</v>
      </c>
      <c r="I6">
        <f>Table2[[#This Row],[Trough x]]/215.9</f>
        <v>0.14515979620194533</v>
      </c>
      <c r="J6">
        <f>(Table2[[#This Row],[Normalised peak x]]-Table2[[#This Row],[Normalised trough x]])/2</f>
        <v>1.9893469198703106E-2</v>
      </c>
      <c r="K6">
        <v>137.24</v>
      </c>
      <c r="L6">
        <f>ABS(Table2[[#This Row],[Second peak y]]-Table2[[#This Row],[Peak y]])/215.9</f>
        <v>0.28425196850393702</v>
      </c>
      <c r="M6">
        <f t="shared" ref="M6:M7" si="1">2*PI()</f>
        <v>6.2831853071795862</v>
      </c>
      <c r="N6">
        <f>Table2[[#This Row],[Normalised phase diff]]+Table2[[#This Row],[Column1]]</f>
        <v>3.2729770893568686</v>
      </c>
      <c r="O6">
        <f>$W$14-ABS($W$15*Table2[[#This Row],[Normalised index]] - $W$14)</f>
        <v>3.3103448275862064</v>
      </c>
      <c r="R6" t="s">
        <v>45</v>
      </c>
      <c r="V6">
        <f>AVERAGE(V2:V5)</f>
        <v>60.867500000000007</v>
      </c>
    </row>
    <row r="7" spans="1:26" ht="16" x14ac:dyDescent="0.2">
      <c r="A7">
        <f t="shared" si="0"/>
        <v>5</v>
      </c>
      <c r="B7">
        <f>Table2[[#This Row],[Index]]/29</f>
        <v>0.17241379310344829</v>
      </c>
      <c r="C7">
        <v>47.12</v>
      </c>
      <c r="D7">
        <f>Table2[[#This Row],[Peak x]]/215.9</f>
        <v>0.21824918943955532</v>
      </c>
      <c r="E7">
        <v>85.07</v>
      </c>
      <c r="F7">
        <f>((Table2[[#This Row],[Peak y]]-$E$2)/(Table2[[#Totals],[Normalised Time period]]*215.9))*2*PI()</f>
        <v>4.2243637946359565</v>
      </c>
      <c r="G7">
        <f>MOD(Table2[[#This Row],[Phase diff]] + PI(), 2*PI())-PI()</f>
        <v>-2.0588215125436298</v>
      </c>
      <c r="H7">
        <v>38.89</v>
      </c>
      <c r="I7">
        <f>Table2[[#This Row],[Trough x]]/215.9</f>
        <v>0.18012968967114404</v>
      </c>
      <c r="J7">
        <f>(Table2[[#This Row],[Normalised peak x]]-Table2[[#This Row],[Normalised trough x]])/2</f>
        <v>1.905974988420564E-2</v>
      </c>
      <c r="K7">
        <v>147.25</v>
      </c>
      <c r="L7">
        <f>ABS(Table2[[#This Row],[Second peak y]]-Table2[[#This Row],[Peak y]])/215.9</f>
        <v>0.28800370541917558</v>
      </c>
      <c r="M7">
        <f t="shared" si="1"/>
        <v>6.2831853071795862</v>
      </c>
      <c r="N7">
        <f>Table2[[#This Row],[Normalised phase diff]]+Table2[[#This Row],[Column1]]</f>
        <v>4.2243637946359565</v>
      </c>
      <c r="O7">
        <f>$W$14-ABS($W$15*Table2[[#This Row],[Normalised index]] - $W$14)</f>
        <v>4.1379310344827589</v>
      </c>
      <c r="R7">
        <f>12.82/215.9</f>
        <v>5.937934228809634E-2</v>
      </c>
    </row>
    <row r="8" spans="1:26" ht="16" x14ac:dyDescent="0.2">
      <c r="A8">
        <f t="shared" si="0"/>
        <v>6</v>
      </c>
      <c r="B8">
        <f>Table2[[#This Row],[Index]]/29</f>
        <v>0.20689655172413793</v>
      </c>
      <c r="C8">
        <v>53.13</v>
      </c>
      <c r="D8">
        <f>Table2[[#This Row],[Peak x]]/215.9</f>
        <v>0.24608615099583142</v>
      </c>
      <c r="E8">
        <v>94.25</v>
      </c>
      <c r="F8">
        <f>((Table2[[#This Row],[Peak y]]-$E$2)/(Table2[[#Totals],[Normalised Time period]]*215.9))*2*PI()</f>
        <v>5.1736822679470489</v>
      </c>
      <c r="G8">
        <f>MOD(Table2[[#This Row],[Phase diff]] + PI(), 2*PI())-PI()</f>
        <v>-1.1095030392325373</v>
      </c>
      <c r="H8">
        <v>44.36</v>
      </c>
      <c r="I8">
        <f>Table2[[#This Row],[Trough x]]/215.9</f>
        <v>0.20546549328392774</v>
      </c>
      <c r="J8">
        <f>(Table2[[#This Row],[Normalised peak x]]-Table2[[#This Row],[Normalised trough x]])/2</f>
        <v>2.031032885595184E-2</v>
      </c>
      <c r="K8">
        <v>155.56</v>
      </c>
      <c r="L8">
        <f>ABS(Table2[[#This Row],[Second peak y]]-Table2[[#This Row],[Peak y]])/215.9</f>
        <v>0.28397406206577119</v>
      </c>
      <c r="M8">
        <f>2*PI()</f>
        <v>6.2831853071795862</v>
      </c>
      <c r="N8">
        <f>Table2[[#This Row],[Normalised phase diff]]+Table2[[#This Row],[Column1]]</f>
        <v>5.1736822679470489</v>
      </c>
      <c r="O8">
        <f>$W$14-ABS($W$15*Table2[[#This Row],[Normalised index]] - $W$14)</f>
        <v>4.9655172413793105</v>
      </c>
      <c r="V8">
        <f>7.62-68.55</f>
        <v>-60.93</v>
      </c>
    </row>
    <row r="9" spans="1:26" ht="16" x14ac:dyDescent="0.2">
      <c r="A9">
        <f t="shared" si="0"/>
        <v>7</v>
      </c>
      <c r="B9">
        <f>Table2[[#This Row],[Index]]/29</f>
        <v>0.2413793103448276</v>
      </c>
      <c r="C9">
        <v>59.3</v>
      </c>
      <c r="D9">
        <f>Table2[[#This Row],[Peak x]]/215.9</f>
        <v>0.27466419638721629</v>
      </c>
      <c r="E9">
        <v>103.6</v>
      </c>
      <c r="F9">
        <f>((Table2[[#This Row],[Peak y]]-$E$2)/(Table2[[#Totals],[Normalised Time period]]*215.9))*2*PI()</f>
        <v>6.1405807129861225</v>
      </c>
      <c r="G9">
        <f>MOD(Table2[[#This Row],[Phase diff]] + PI(), 2*PI())-PI()</f>
        <v>-0.14260459419346461</v>
      </c>
      <c r="H9">
        <v>50.97</v>
      </c>
      <c r="I9">
        <f>Table2[[#This Row],[Trough x]]/215.9</f>
        <v>0.23608151922186196</v>
      </c>
      <c r="J9">
        <f>(Table2[[#This Row],[Normalised peak x]]-Table2[[#This Row],[Normalised trough x]])/2</f>
        <v>1.9291338582677162E-2</v>
      </c>
      <c r="K9">
        <v>164.43</v>
      </c>
      <c r="L9">
        <f>ABS(Table2[[#This Row],[Second peak y]]-Table2[[#This Row],[Peak y]])/215.9</f>
        <v>0.28175081056044471</v>
      </c>
      <c r="M9">
        <f t="shared" ref="M9:M20" si="2">2*PI()</f>
        <v>6.2831853071795862</v>
      </c>
      <c r="N9">
        <f>Table2[[#This Row],[Normalised phase diff]]+Table2[[#This Row],[Column1]]</f>
        <v>6.1405807129861216</v>
      </c>
      <c r="O9">
        <f>$W$14-ABS($W$15*Table2[[#This Row],[Normalised index]] - $W$14)</f>
        <v>5.7931034482758621</v>
      </c>
    </row>
    <row r="10" spans="1:26" ht="16" x14ac:dyDescent="0.2">
      <c r="A10">
        <f t="shared" si="0"/>
        <v>8</v>
      </c>
      <c r="B10">
        <f>Table2[[#This Row],[Index]]/29</f>
        <v>0.27586206896551724</v>
      </c>
      <c r="C10">
        <v>65.3</v>
      </c>
      <c r="D10">
        <f>Table2[[#This Row],[Peak x]]/215.9</f>
        <v>0.30245484020379804</v>
      </c>
      <c r="E10">
        <v>111.9</v>
      </c>
      <c r="F10">
        <f>((Table2[[#This Row],[Peak y]]-$E$2)/(Table2[[#Totals],[Normalised Time period]]*215.9))*2*PI()</f>
        <v>6.9988969797053029</v>
      </c>
      <c r="G10">
        <f>MOD(Table2[[#This Row],[Phase diff]] + PI(), 2*PI())-PI()</f>
        <v>0.71571167252571755</v>
      </c>
      <c r="H10">
        <v>56.82</v>
      </c>
      <c r="I10">
        <f>Table2[[#This Row],[Trough x]]/215.9</f>
        <v>0.26317739694302916</v>
      </c>
      <c r="J10">
        <f>(Table2[[#This Row],[Normalised peak x]]-Table2[[#This Row],[Normalised trough x]])/2</f>
        <v>1.9638721630384437E-2</v>
      </c>
      <c r="K10">
        <v>171.98</v>
      </c>
      <c r="L10">
        <f>ABS(Table2[[#This Row],[Second peak y]]-Table2[[#This Row],[Peak y]])/215.9</f>
        <v>0.27827698008337187</v>
      </c>
      <c r="M10">
        <f t="shared" si="2"/>
        <v>6.2831853071795862</v>
      </c>
      <c r="N10">
        <f>Table2[[#This Row],[Normalised phase diff]]+Table2[[#This Row],[Column1]]</f>
        <v>6.9988969797053038</v>
      </c>
      <c r="O10">
        <f>$W$14-ABS($W$15*Table2[[#This Row],[Normalised index]] - $W$14)</f>
        <v>6.6206896551724137</v>
      </c>
    </row>
    <row r="11" spans="1:26" ht="16" x14ac:dyDescent="0.2">
      <c r="A11">
        <f t="shared" si="0"/>
        <v>9</v>
      </c>
      <c r="B11">
        <f>Table2[[#This Row],[Index]]/29</f>
        <v>0.31034482758620691</v>
      </c>
      <c r="C11">
        <v>70.78</v>
      </c>
      <c r="D11">
        <f>Table2[[#This Row],[Peak x]]/215.9</f>
        <v>0.32783696155627606</v>
      </c>
      <c r="E11">
        <v>118.43</v>
      </c>
      <c r="F11">
        <f>((Table2[[#This Row],[Peak y]]-$E$2)/(Table2[[#Totals],[Normalised Time period]]*215.9))*2*PI()</f>
        <v>7.6741747172566557</v>
      </c>
      <c r="G11">
        <f>MOD(Table2[[#This Row],[Phase diff]] + PI(), 2*PI())-PI()</f>
        <v>1.3909894100770686</v>
      </c>
      <c r="H11">
        <v>62.68</v>
      </c>
      <c r="I11">
        <f>Table2[[#This Row],[Trough x]]/215.9</f>
        <v>0.29031959240389066</v>
      </c>
      <c r="J11">
        <f>(Table2[[#This Row],[Normalised peak x]]-Table2[[#This Row],[Normalised trough x]])/2</f>
        <v>1.8758684576192702E-2</v>
      </c>
      <c r="K11">
        <v>179.72</v>
      </c>
      <c r="L11">
        <f>ABS(Table2[[#This Row],[Second peak y]]-Table2[[#This Row],[Peak y]])/215.9</f>
        <v>0.28388142658638255</v>
      </c>
      <c r="M11">
        <f t="shared" si="2"/>
        <v>6.2831853071795862</v>
      </c>
      <c r="N11">
        <f>Table2[[#This Row],[Normalised phase diff]]+Table2[[#This Row],[Column1]]</f>
        <v>7.6741747172566548</v>
      </c>
      <c r="O11">
        <f>$W$14-ABS($W$15*Table2[[#This Row],[Normalised index]] - $W$14)</f>
        <v>7.4482758620689662</v>
      </c>
      <c r="V11">
        <f>AVERAGE(G3:G13)</f>
        <v>0.49917718653072268</v>
      </c>
    </row>
    <row r="12" spans="1:26" ht="16" x14ac:dyDescent="0.2">
      <c r="A12">
        <f t="shared" si="0"/>
        <v>10</v>
      </c>
      <c r="B12">
        <f>Table2[[#This Row],[Index]]/29</f>
        <v>0.34482758620689657</v>
      </c>
      <c r="C12">
        <v>76.25</v>
      </c>
      <c r="D12">
        <f>Table2[[#This Row],[Peak x]]/215.9</f>
        <v>0.35317276516905977</v>
      </c>
      <c r="E12">
        <v>125.31</v>
      </c>
      <c r="F12">
        <f>((Table2[[#This Row],[Peak y]]-$E$2)/(Table2[[#Totals],[Normalised Time period]]*215.9))*2*PI()</f>
        <v>8.3856465142479752</v>
      </c>
      <c r="G12">
        <f>MOD(Table2[[#This Row],[Phase diff]] + PI(), 2*PI())-PI()</f>
        <v>2.102461207068389</v>
      </c>
      <c r="H12">
        <v>67.77</v>
      </c>
      <c r="I12">
        <f>Table2[[#This Row],[Trough x]]/215.9</f>
        <v>0.31389532190829084</v>
      </c>
      <c r="J12">
        <f>(Table2[[#This Row],[Normalised peak x]]-Table2[[#This Row],[Normalised trough x]])/2</f>
        <v>1.9638721630384465E-2</v>
      </c>
      <c r="K12">
        <v>186.14</v>
      </c>
      <c r="L12">
        <f>ABS(Table2[[#This Row],[Second peak y]]-Table2[[#This Row],[Peak y]])/215.9</f>
        <v>0.28175081056044454</v>
      </c>
      <c r="M12">
        <f t="shared" si="2"/>
        <v>6.2831853071795862</v>
      </c>
      <c r="N12">
        <f>Table2[[#This Row],[Normalised phase diff]]+Table2[[#This Row],[Column1]]</f>
        <v>8.3856465142479752</v>
      </c>
      <c r="O12">
        <f>$W$14-ABS($W$15*Table2[[#This Row],[Normalised index]] - $W$14)</f>
        <v>8.2758620689655178</v>
      </c>
      <c r="V12">
        <f>AVERAGE(G14:G31)</f>
        <v>8.4946882996719209E-2</v>
      </c>
    </row>
    <row r="13" spans="1:26" ht="16" x14ac:dyDescent="0.2">
      <c r="A13">
        <f t="shared" si="0"/>
        <v>11</v>
      </c>
      <c r="B13">
        <f>Table2[[#This Row],[Index]]/29</f>
        <v>0.37931034482758619</v>
      </c>
      <c r="C13">
        <v>80.84</v>
      </c>
      <c r="D13">
        <f>Table2[[#This Row],[Peak x]]/215.9</f>
        <v>0.37443260768874481</v>
      </c>
      <c r="E13">
        <v>131.31</v>
      </c>
      <c r="F13">
        <f>((Table2[[#This Row],[Peak y]]-$E$2)/(Table2[[#Totals],[Normalised Time period]]*215.9))*2*PI()</f>
        <v>9.006116104647381</v>
      </c>
      <c r="G13">
        <f>MOD(Table2[[#This Row],[Phase diff]] + PI(), 2*PI())-PI()</f>
        <v>2.7229307974677948</v>
      </c>
      <c r="H13">
        <v>72.489999999999995</v>
      </c>
      <c r="I13">
        <f>Table2[[#This Row],[Trough x]]/215.9</f>
        <v>0.33575729504400181</v>
      </c>
      <c r="J13">
        <f>(Table2[[#This Row],[Normalised peak x]]-Table2[[#This Row],[Normalised trough x]])/2</f>
        <v>1.9337656322371499E-2</v>
      </c>
      <c r="K13">
        <v>192.93</v>
      </c>
      <c r="L13">
        <f>ABS(Table2[[#This Row],[Second peak y]]-Table2[[#This Row],[Peak y]])/215.9</f>
        <v>0.28540991199629462</v>
      </c>
      <c r="M13">
        <f t="shared" si="2"/>
        <v>6.2831853071795862</v>
      </c>
      <c r="N13">
        <f>Table2[[#This Row],[Normalised phase diff]]+Table2[[#This Row],[Column1]]</f>
        <v>9.006116104647381</v>
      </c>
      <c r="O13">
        <f>$W$14-ABS($W$15*Table2[[#This Row],[Normalised index]] - $W$14)</f>
        <v>9.0965517241379317</v>
      </c>
    </row>
    <row r="14" spans="1:26" ht="16" x14ac:dyDescent="0.2">
      <c r="A14">
        <f t="shared" si="0"/>
        <v>12</v>
      </c>
      <c r="B14">
        <f>Table2[[#This Row],[Index]]/29</f>
        <v>0.41379310344827586</v>
      </c>
      <c r="C14">
        <v>85.42</v>
      </c>
      <c r="D14">
        <f>Table2[[#This Row],[Peak x]]/215.9</f>
        <v>0.39564613246873553</v>
      </c>
      <c r="E14">
        <v>124.61</v>
      </c>
      <c r="F14">
        <f>((Table2[[#This Row],[Peak y]]-$E$2)/(Table2[[#Totals],[Normalised Time period]]*215.9))*2*PI()</f>
        <v>8.3132583953680452</v>
      </c>
      <c r="G14">
        <f>MOD(Table2[[#This Row],[Phase diff]] + PI(), 2*PI())-PI()</f>
        <v>2.030073088188459</v>
      </c>
      <c r="H14">
        <v>77.02</v>
      </c>
      <c r="I14">
        <f>Table2[[#This Row],[Trough x]]/215.9</f>
        <v>0.35673923112552103</v>
      </c>
      <c r="J14">
        <f>(Table2[[#This Row],[Normalised peak x]]-Table2[[#This Row],[Normalised trough x]])/2</f>
        <v>1.9453450671607253E-2</v>
      </c>
      <c r="K14">
        <v>184.63</v>
      </c>
      <c r="L14">
        <f>ABS(Table2[[#This Row],[Second peak y]]-Table2[[#This Row],[Peak y]])/215.9</f>
        <v>0.2779990736452061</v>
      </c>
      <c r="M14">
        <f t="shared" si="2"/>
        <v>6.2831853071795862</v>
      </c>
      <c r="N14">
        <f>Table2[[#This Row],[Normalised phase diff]]+Table2[[#This Row],[Column1]]</f>
        <v>8.3132583953680452</v>
      </c>
      <c r="O14">
        <f>$W$14-ABS($W$15*Table2[[#This Row],[Normalised index]] - $W$14)</f>
        <v>8.2689655172413783</v>
      </c>
      <c r="V14" t="s">
        <v>46</v>
      </c>
      <c r="W14">
        <v>9.1</v>
      </c>
    </row>
    <row r="15" spans="1:26" ht="16" x14ac:dyDescent="0.2">
      <c r="A15">
        <f t="shared" si="0"/>
        <v>13</v>
      </c>
      <c r="B15">
        <f>Table2[[#This Row],[Index]]/29</f>
        <v>0.44827586206896552</v>
      </c>
      <c r="C15">
        <v>90.01</v>
      </c>
      <c r="D15">
        <f>Table2[[#This Row],[Peak x]]/215.9</f>
        <v>0.41690597498842058</v>
      </c>
      <c r="E15">
        <v>118.78</v>
      </c>
      <c r="F15">
        <f>((Table2[[#This Row],[Peak y]]-$E$2)/(Table2[[#Totals],[Normalised Time period]]*215.9))*2*PI()</f>
        <v>7.7103687766966216</v>
      </c>
      <c r="G15">
        <f>MOD(Table2[[#This Row],[Phase diff]] + PI(), 2*PI())-PI()</f>
        <v>1.4271834695170362</v>
      </c>
      <c r="H15">
        <v>81.55</v>
      </c>
      <c r="I15">
        <f>Table2[[#This Row],[Trough x]]/215.9</f>
        <v>0.3777211672070403</v>
      </c>
      <c r="J15">
        <f>(Table2[[#This Row],[Normalised peak x]]-Table2[[#This Row],[Normalised trough x]])/2</f>
        <v>1.9592403890690141E-2</v>
      </c>
      <c r="K15">
        <v>178.21</v>
      </c>
      <c r="L15">
        <f>ABS(Table2[[#This Row],[Second peak y]]-Table2[[#This Row],[Peak y]])/215.9</f>
        <v>0.27526632700324227</v>
      </c>
      <c r="M15">
        <f t="shared" si="2"/>
        <v>6.2831853071795862</v>
      </c>
      <c r="N15">
        <f>Table2[[#This Row],[Normalised phase diff]]+Table2[[#This Row],[Column1]]</f>
        <v>7.7103687766966225</v>
      </c>
      <c r="O15">
        <f>$W$14-ABS($W$15*Table2[[#This Row],[Normalised index]] - $W$14)</f>
        <v>7.4413793103448267</v>
      </c>
      <c r="V15" t="s">
        <v>47</v>
      </c>
      <c r="W15">
        <v>24</v>
      </c>
      <c r="X15">
        <f>W14/0.379</f>
        <v>24.01055408970976</v>
      </c>
    </row>
    <row r="16" spans="1:26" ht="16" x14ac:dyDescent="0.2">
      <c r="A16">
        <f t="shared" si="0"/>
        <v>14</v>
      </c>
      <c r="B16">
        <f>Table2[[#This Row],[Index]]/29</f>
        <v>0.48275862068965519</v>
      </c>
      <c r="C16">
        <v>94.6</v>
      </c>
      <c r="D16">
        <f>Table2[[#This Row],[Peak x]]/215.9</f>
        <v>0.43816581750810557</v>
      </c>
      <c r="E16">
        <v>110.13</v>
      </c>
      <c r="F16">
        <f>((Table2[[#This Row],[Peak y]]-$E$2)/(Table2[[#Totals],[Normalised Time period]]*215.9))*2*PI()</f>
        <v>6.8158584505374771</v>
      </c>
      <c r="G16">
        <f>MOD(Table2[[#This Row],[Phase diff]] + PI(), 2*PI())-PI()</f>
        <v>0.53267314335788996</v>
      </c>
      <c r="H16">
        <v>86.27</v>
      </c>
      <c r="I16">
        <f>Table2[[#This Row],[Trough x]]/215.9</f>
        <v>0.39958314034275122</v>
      </c>
      <c r="J16">
        <f>(Table2[[#This Row],[Normalised peak x]]-Table2[[#This Row],[Normalised trough x]])/2</f>
        <v>1.9291338582677175E-2</v>
      </c>
      <c r="K16">
        <v>171.04</v>
      </c>
      <c r="L16">
        <f>ABS(Table2[[#This Row],[Second peak y]]-Table2[[#This Row],[Peak y]])/215.9</f>
        <v>0.28212135247799908</v>
      </c>
      <c r="M16">
        <f t="shared" si="2"/>
        <v>6.2831853071795862</v>
      </c>
      <c r="N16">
        <f>Table2[[#This Row],[Normalised phase diff]]+Table2[[#This Row],[Column1]]</f>
        <v>6.8158584505374762</v>
      </c>
      <c r="O16">
        <f>$W$14-ABS($W$15*Table2[[#This Row],[Normalised index]] - $W$14)</f>
        <v>6.6137931034482751</v>
      </c>
    </row>
    <row r="17" spans="1:15" ht="16" x14ac:dyDescent="0.2">
      <c r="A17">
        <f t="shared" si="0"/>
        <v>15</v>
      </c>
      <c r="B17">
        <f>Table2[[#This Row],[Index]]/29</f>
        <v>0.51724137931034486</v>
      </c>
      <c r="C17">
        <v>100.07</v>
      </c>
      <c r="D17">
        <f>Table2[[#This Row],[Peak x]]/215.9</f>
        <v>0.46350162112088927</v>
      </c>
      <c r="E17">
        <v>102.02</v>
      </c>
      <c r="F17">
        <f>((Table2[[#This Row],[Peak y]]-$E$2)/(Table2[[#Totals],[Normalised Time period]]*215.9))*2*PI()</f>
        <v>5.9771903875142796</v>
      </c>
      <c r="G17">
        <f>MOD(Table2[[#This Row],[Phase diff]] + PI(), 2*PI())-PI()</f>
        <v>-0.30599491966530579</v>
      </c>
      <c r="H17">
        <v>91.75</v>
      </c>
      <c r="I17">
        <f>Table2[[#This Row],[Trough x]]/215.9</f>
        <v>0.42496526169522925</v>
      </c>
      <c r="J17">
        <f>(Table2[[#This Row],[Normalised peak x]]-Table2[[#This Row],[Normalised trough x]])/2</f>
        <v>1.9268179712830014E-2</v>
      </c>
      <c r="K17">
        <v>161.79</v>
      </c>
      <c r="L17">
        <f>ABS(Table2[[#This Row],[Second peak y]]-Table2[[#This Row],[Peak y]])/215.9</f>
        <v>0.2768411301528485</v>
      </c>
      <c r="M17">
        <f t="shared" si="2"/>
        <v>6.2831853071795862</v>
      </c>
      <c r="N17">
        <f>Table2[[#This Row],[Normalised phase diff]]+Table2[[#This Row],[Column1]]</f>
        <v>5.9771903875142804</v>
      </c>
      <c r="O17">
        <f>$W$14-ABS($W$15*Table2[[#This Row],[Normalised index]] - $W$14)</f>
        <v>5.7862068965517217</v>
      </c>
    </row>
    <row r="18" spans="1:15" ht="16" x14ac:dyDescent="0.2">
      <c r="A18">
        <f t="shared" si="0"/>
        <v>16</v>
      </c>
      <c r="B18">
        <f>Table2[[#This Row],[Index]]/29</f>
        <v>0.55172413793103448</v>
      </c>
      <c r="C18">
        <v>105.72</v>
      </c>
      <c r="D18">
        <f>Table2[[#This Row],[Peak x]]/215.9</f>
        <v>0.48967114404817041</v>
      </c>
      <c r="E18">
        <v>95.13</v>
      </c>
      <c r="F18">
        <f>((Table2[[#This Row],[Peak y]]-$E$2)/(Table2[[#Totals],[Normalised Time period]]*215.9))*2*PI()</f>
        <v>5.2646844745389618</v>
      </c>
      <c r="G18">
        <f>MOD(Table2[[#This Row],[Phase diff]] + PI(), 2*PI())-PI()</f>
        <v>-1.0185008326406244</v>
      </c>
      <c r="H18">
        <v>97.41</v>
      </c>
      <c r="I18">
        <f>Table2[[#This Row],[Trough x]]/215.9</f>
        <v>0.45118110236220471</v>
      </c>
      <c r="J18">
        <f>(Table2[[#This Row],[Normalised peak x]]-Table2[[#This Row],[Normalised trough x]])/2</f>
        <v>1.9245020842982852E-2</v>
      </c>
      <c r="K18">
        <v>153.86000000000001</v>
      </c>
      <c r="L18">
        <f>ABS(Table2[[#This Row],[Second peak y]]-Table2[[#This Row],[Peak y]])/215.9</f>
        <v>0.27202408522464111</v>
      </c>
      <c r="M18">
        <f t="shared" si="2"/>
        <v>6.2831853071795862</v>
      </c>
      <c r="N18">
        <f>Table2[[#This Row],[Normalised phase diff]]+Table2[[#This Row],[Column1]]</f>
        <v>5.2646844745389618</v>
      </c>
      <c r="O18">
        <f>$W$14-ABS($W$15*Table2[[#This Row],[Normalised index]] - $W$14)</f>
        <v>4.9586206896551719</v>
      </c>
    </row>
    <row r="19" spans="1:15" ht="16" x14ac:dyDescent="0.2">
      <c r="A19">
        <f t="shared" si="0"/>
        <v>17</v>
      </c>
      <c r="B19">
        <f>Table2[[#This Row],[Index]]/29</f>
        <v>0.58620689655172409</v>
      </c>
      <c r="C19">
        <v>112.43</v>
      </c>
      <c r="D19">
        <f>Table2[[#This Row],[Peak x]]/215.9</f>
        <v>0.52075034738304771</v>
      </c>
      <c r="E19">
        <v>84.72</v>
      </c>
      <c r="F19">
        <f>((Table2[[#This Row],[Peak y]]-$E$2)/(Table2[[#Totals],[Normalised Time period]]*215.9))*2*PI()</f>
        <v>4.1881697351959923</v>
      </c>
      <c r="G19">
        <f>MOD(Table2[[#This Row],[Phase diff]] + PI(), 2*PI())-PI()</f>
        <v>-2.0950155719835939</v>
      </c>
      <c r="H19">
        <v>103.83</v>
      </c>
      <c r="I19">
        <f>Table2[[#This Row],[Trough x]]/215.9</f>
        <v>0.48091709124594717</v>
      </c>
      <c r="J19">
        <f>(Table2[[#This Row],[Normalised peak x]]-Table2[[#This Row],[Normalised trough x]])/2</f>
        <v>1.9916628068550268E-2</v>
      </c>
      <c r="K19">
        <v>145.74</v>
      </c>
      <c r="L19">
        <f>ABS(Table2[[#This Row],[Second peak y]]-Table2[[#This Row],[Peak y]])/215.9</f>
        <v>0.28263084761463647</v>
      </c>
      <c r="M19">
        <f t="shared" si="2"/>
        <v>6.2831853071795862</v>
      </c>
      <c r="N19">
        <f>Table2[[#This Row],[Normalised phase diff]]+Table2[[#This Row],[Column1]]</f>
        <v>4.1881697351959923</v>
      </c>
      <c r="O19">
        <f>$W$14-ABS($W$15*Table2[[#This Row],[Normalised index]] - $W$14)</f>
        <v>4.1310344827586221</v>
      </c>
    </row>
    <row r="20" spans="1:15" ht="16" x14ac:dyDescent="0.2">
      <c r="A20">
        <f t="shared" si="0"/>
        <v>18</v>
      </c>
      <c r="B20">
        <f>Table2[[#This Row],[Index]]/29</f>
        <v>0.62068965517241381</v>
      </c>
      <c r="C20">
        <v>119.14</v>
      </c>
      <c r="D20">
        <f>Table2[[#This Row],[Peak x]]/215.9</f>
        <v>0.55182955071792494</v>
      </c>
      <c r="E20">
        <v>76.95</v>
      </c>
      <c r="F20">
        <f>((Table2[[#This Row],[Peak y]]-$E$2)/(Table2[[#Totals],[Normalised Time period]]*215.9))*2*PI()</f>
        <v>3.3846616156287617</v>
      </c>
      <c r="G20">
        <f>MOD(Table2[[#This Row],[Phase diff]] + PI(), 2*PI())-PI()</f>
        <v>-2.8985236915508246</v>
      </c>
      <c r="H20">
        <v>110.63</v>
      </c>
      <c r="I20">
        <f>Table2[[#This Row],[Trough x]]/215.9</f>
        <v>0.5124131542380731</v>
      </c>
      <c r="J20">
        <f>(Table2[[#This Row],[Normalised peak x]]-Table2[[#This Row],[Normalised trough x]])/2</f>
        <v>1.9708198239925923E-2</v>
      </c>
      <c r="K20">
        <v>137.81</v>
      </c>
      <c r="L20">
        <f>ABS(Table2[[#This Row],[Second peak y]]-Table2[[#This Row],[Peak y]])/215.9</f>
        <v>0.28188976377952757</v>
      </c>
      <c r="M20">
        <f t="shared" si="2"/>
        <v>6.2831853071795862</v>
      </c>
      <c r="N20">
        <f>Table2[[#This Row],[Normalised phase diff]]+Table2[[#This Row],[Column1]]</f>
        <v>3.3846616156287617</v>
      </c>
      <c r="O20">
        <f>$W$14-ABS($W$15*Table2[[#This Row],[Normalised index]] - $W$14)</f>
        <v>3.3034482758620669</v>
      </c>
    </row>
    <row r="21" spans="1:15" ht="16" x14ac:dyDescent="0.2">
      <c r="A21">
        <f t="shared" si="0"/>
        <v>19</v>
      </c>
      <c r="B21">
        <f>Table2[[#This Row],[Index]]/29</f>
        <v>0.65517241379310343</v>
      </c>
      <c r="C21">
        <v>126.73</v>
      </c>
      <c r="D21">
        <f>Table2[[#This Row],[Peak x]]/215.9</f>
        <v>0.58698471514590089</v>
      </c>
      <c r="E21">
        <v>68.3</v>
      </c>
      <c r="F21">
        <f>((Table2[[#This Row],[Peak y]]-$E$2)/(Table2[[#Totals],[Normalised Time period]]*215.9))*2*PI()</f>
        <v>2.4901512894696167</v>
      </c>
      <c r="G21">
        <f>MOD(Table2[[#This Row],[Phase diff]] + PI(), 2*PI())-PI()</f>
        <v>2.4901512894696172</v>
      </c>
      <c r="H21">
        <v>118.55</v>
      </c>
      <c r="I21">
        <f>Table2[[#This Row],[Trough x]]/215.9</f>
        <v>0.54909680407596106</v>
      </c>
      <c r="J21">
        <f>(Table2[[#This Row],[Normalised peak x]]-Table2[[#This Row],[Normalised trough x]])/2</f>
        <v>1.8943955534969914E-2</v>
      </c>
      <c r="K21">
        <v>128.94</v>
      </c>
      <c r="L21">
        <f>ABS(Table2[[#This Row],[Second peak y]]-Table2[[#This Row],[Peak y]])/215.9</f>
        <v>0.28087077350625289</v>
      </c>
      <c r="M21">
        <v>0</v>
      </c>
      <c r="N21">
        <f>Table2[[#This Row],[Normalised phase diff]]+Table2[[#This Row],[Column1]]</f>
        <v>2.4901512894696172</v>
      </c>
      <c r="O21">
        <f>$W$14-ABS($W$15*Table2[[#This Row],[Normalised index]] - $W$14)</f>
        <v>2.4758620689655171</v>
      </c>
    </row>
    <row r="22" spans="1:15" ht="16" x14ac:dyDescent="0.2">
      <c r="A22">
        <f t="shared" si="0"/>
        <v>20</v>
      </c>
      <c r="B22">
        <f>Table2[[#This Row],[Index]]/29</f>
        <v>0.68965517241379315</v>
      </c>
      <c r="C22">
        <v>133.79</v>
      </c>
      <c r="D22">
        <f>Table2[[#This Row],[Peak x]]/215.9</f>
        <v>0.61968503937007868</v>
      </c>
      <c r="E22">
        <v>59.66</v>
      </c>
      <c r="F22">
        <f>((Table2[[#This Row],[Peak y]]-$E$2)/(Table2[[#Totals],[Normalised Time period]]*215.9))*2*PI()</f>
        <v>1.5966750792944719</v>
      </c>
      <c r="G22">
        <f>MOD(Table2[[#This Row],[Phase diff]] + PI(), 2*PI())-PI()</f>
        <v>1.5966750792944717</v>
      </c>
      <c r="H22">
        <v>125.16</v>
      </c>
      <c r="I22">
        <f>Table2[[#This Row],[Trough x]]/215.9</f>
        <v>0.57971283001389529</v>
      </c>
      <c r="J22">
        <f>(Table2[[#This Row],[Normalised peak x]]-Table2[[#This Row],[Normalised trough x]])/2</f>
        <v>1.9986104678091698E-2</v>
      </c>
      <c r="K22">
        <v>120.82</v>
      </c>
      <c r="L22">
        <f>ABS(Table2[[#This Row],[Second peak y]]-Table2[[#This Row],[Peak y]])/215.9</f>
        <v>0.28327929597035661</v>
      </c>
      <c r="M22">
        <v>0</v>
      </c>
      <c r="N22">
        <f>Table2[[#This Row],[Normalised phase diff]]+Table2[[#This Row],[Column1]]</f>
        <v>1.5966750792944717</v>
      </c>
      <c r="O22">
        <f>$W$14-ABS($W$15*Table2[[#This Row],[Normalised index]] - $W$14)</f>
        <v>1.6482758620689637</v>
      </c>
    </row>
    <row r="23" spans="1:15" ht="16" x14ac:dyDescent="0.2">
      <c r="A23">
        <f t="shared" si="0"/>
        <v>21</v>
      </c>
      <c r="B23">
        <f>Table2[[#This Row],[Index]]/29</f>
        <v>0.72413793103448276</v>
      </c>
      <c r="C23">
        <v>142.26</v>
      </c>
      <c r="D23">
        <f>Table2[[#This Row],[Peak x]]/215.9</f>
        <v>0.65891616489115323</v>
      </c>
      <c r="E23">
        <v>50.65</v>
      </c>
      <c r="F23">
        <f>((Table2[[#This Row],[Peak y]]-$E$2)/(Table2[[#Totals],[Normalised Time period]]*215.9))*2*PI()</f>
        <v>0.66493657771136361</v>
      </c>
      <c r="G23">
        <f>MOD(Table2[[#This Row],[Phase diff]] + PI(), 2*PI())-PI()</f>
        <v>0.66493657771136361</v>
      </c>
      <c r="H23">
        <v>133.66</v>
      </c>
      <c r="I23">
        <f>Table2[[#This Row],[Trough x]]/215.9</f>
        <v>0.61908290875405281</v>
      </c>
      <c r="J23">
        <f>(Table2[[#This Row],[Normalised peak x]]-Table2[[#This Row],[Normalised trough x]])/2</f>
        <v>1.9916628068550213E-2</v>
      </c>
      <c r="K23">
        <v>111.95</v>
      </c>
      <c r="L23">
        <f>ABS(Table2[[#This Row],[Second peak y]]-Table2[[#This Row],[Peak y]])/215.9</f>
        <v>0.28392774432607693</v>
      </c>
      <c r="M23">
        <v>0</v>
      </c>
      <c r="N23">
        <f>Table2[[#This Row],[Normalised phase diff]]+Table2[[#This Row],[Column1]]</f>
        <v>0.66493657771136361</v>
      </c>
      <c r="O23">
        <f>$W$14-ABS($W$15*Table2[[#This Row],[Normalised index]] - $W$14)</f>
        <v>0.8206896551724121</v>
      </c>
    </row>
    <row r="24" spans="1:15" ht="16" x14ac:dyDescent="0.2">
      <c r="A24">
        <f t="shared" si="0"/>
        <v>22</v>
      </c>
      <c r="B24">
        <f>Table2[[#This Row],[Index]]/29</f>
        <v>0.75862068965517238</v>
      </c>
      <c r="C24">
        <v>149.32</v>
      </c>
      <c r="D24">
        <f>Table2[[#This Row],[Peak x]]/215.9</f>
        <v>0.69161648911533113</v>
      </c>
      <c r="E24">
        <v>43.07</v>
      </c>
      <c r="F24">
        <f>((Table2[[#This Row],[Peak y]]-$E$2)/(Table2[[#Totals],[Normalised Time period]]*215.9))*2*PI()</f>
        <v>-0.11892333815988604</v>
      </c>
      <c r="G24">
        <f>MOD(Table2[[#This Row],[Phase diff]] + PI(), 2*PI())-PI()</f>
        <v>-0.11892333815988598</v>
      </c>
      <c r="H24">
        <v>141.21</v>
      </c>
      <c r="I24">
        <f>Table2[[#This Row],[Trough x]]/215.9</f>
        <v>0.65405280222325157</v>
      </c>
      <c r="J24">
        <f>(Table2[[#This Row],[Normalised peak x]]-Table2[[#This Row],[Normalised trough x]])/2</f>
        <v>1.8781843446039781E-2</v>
      </c>
      <c r="K24">
        <v>104.21</v>
      </c>
      <c r="L24">
        <f>ABS(Table2[[#This Row],[Second peak y]]-Table2[[#This Row],[Peak y]])/215.9</f>
        <v>0.28318666049096802</v>
      </c>
      <c r="M24">
        <v>0</v>
      </c>
      <c r="N24">
        <f>Table2[[#This Row],[Normalised phase diff]]+Table2[[#This Row],[Column1]]</f>
        <v>-0.11892333815988598</v>
      </c>
      <c r="O24">
        <f>$W$14-ABS($W$15*Table2[[#This Row],[Normalised index]] - $W$14)</f>
        <v>-6.8965517241359464E-3</v>
      </c>
    </row>
    <row r="25" spans="1:15" ht="16" x14ac:dyDescent="0.2">
      <c r="A25">
        <f t="shared" si="0"/>
        <v>23</v>
      </c>
      <c r="B25">
        <f>Table2[[#This Row],[Index]]/29</f>
        <v>0.7931034482758621</v>
      </c>
      <c r="C25">
        <v>157.97</v>
      </c>
      <c r="D25">
        <f>Table2[[#This Row],[Peak x]]/215.9</f>
        <v>0.73168133395090318</v>
      </c>
      <c r="E25">
        <v>35.479999999999997</v>
      </c>
      <c r="F25">
        <f>((Table2[[#This Row],[Peak y]]-$E$2)/(Table2[[#Totals],[Normalised Time period]]*215.9))*2*PI()</f>
        <v>-0.90381737001513518</v>
      </c>
      <c r="G25">
        <f>MOD(Table2[[#This Row],[Phase diff]] + PI(), 2*PI())-PI()</f>
        <v>-0.90381737001513507</v>
      </c>
      <c r="H25">
        <v>149.51</v>
      </c>
      <c r="I25">
        <f>Table2[[#This Row],[Trough x]]/215.9</f>
        <v>0.69249652616952284</v>
      </c>
      <c r="J25">
        <f>(Table2[[#This Row],[Normalised peak x]]-Table2[[#This Row],[Normalised trough x]])/2</f>
        <v>1.9592403890690169E-2</v>
      </c>
      <c r="K25">
        <v>96.47</v>
      </c>
      <c r="L25">
        <f>ABS(Table2[[#This Row],[Second peak y]]-Table2[[#This Row],[Peak y]])/215.9</f>
        <v>0.2824918943955535</v>
      </c>
      <c r="M25">
        <v>0</v>
      </c>
      <c r="N25">
        <f>Table2[[#This Row],[Normalised phase diff]]+Table2[[#This Row],[Column1]]</f>
        <v>-0.90381737001513507</v>
      </c>
      <c r="O25">
        <f>$W$14-ABS($W$15*Table2[[#This Row],[Normalised index]] - $W$14)</f>
        <v>-0.8344827586206911</v>
      </c>
    </row>
    <row r="26" spans="1:15" ht="16" x14ac:dyDescent="0.2">
      <c r="A26">
        <f t="shared" si="0"/>
        <v>24</v>
      </c>
      <c r="B26">
        <f>Table2[[#This Row],[Index]]/29</f>
        <v>0.82758620689655171</v>
      </c>
      <c r="C26">
        <v>166.08</v>
      </c>
      <c r="D26">
        <f>Table2[[#This Row],[Peak x]]/215.9</f>
        <v>0.76924502084298285</v>
      </c>
      <c r="E26">
        <v>29.12</v>
      </c>
      <c r="F26">
        <f>((Table2[[#This Row],[Peak y]]-$E$2)/(Table2[[#Totals],[Normalised Time period]]*215.9))*2*PI()</f>
        <v>-1.5615151358385053</v>
      </c>
      <c r="G26">
        <f>MOD(Table2[[#This Row],[Phase diff]] + PI(), 2*PI())-PI()</f>
        <v>-1.5615151358385053</v>
      </c>
      <c r="H26">
        <v>157.63</v>
      </c>
      <c r="I26">
        <f>Table2[[#This Row],[Trough x]]/215.9</f>
        <v>0.73010653080129684</v>
      </c>
      <c r="J26">
        <f>(Table2[[#This Row],[Normalised peak x]]-Table2[[#This Row],[Normalised trough x]])/2</f>
        <v>1.9569245020843007E-2</v>
      </c>
      <c r="K26">
        <v>89.67</v>
      </c>
      <c r="L26">
        <f>ABS(Table2[[#This Row],[Second peak y]]-Table2[[#This Row],[Peak y]])/215.9</f>
        <v>0.28045391384900414</v>
      </c>
      <c r="M26">
        <v>0</v>
      </c>
      <c r="N26">
        <f>Table2[[#This Row],[Normalised phase diff]]+Table2[[#This Row],[Column1]]</f>
        <v>-1.5615151358385053</v>
      </c>
      <c r="O26">
        <f>$W$14-ABS($W$15*Table2[[#This Row],[Normalised index]] - $W$14)</f>
        <v>-1.6620689655172427</v>
      </c>
    </row>
    <row r="27" spans="1:15" ht="16" x14ac:dyDescent="0.2">
      <c r="A27">
        <f t="shared" si="0"/>
        <v>25</v>
      </c>
      <c r="B27">
        <f>Table2[[#This Row],[Index]]/29</f>
        <v>0.86206896551724133</v>
      </c>
      <c r="C27">
        <v>175.09</v>
      </c>
      <c r="D27">
        <f>Table2[[#This Row],[Peak x]]/215.9</f>
        <v>0.81097730430754977</v>
      </c>
      <c r="E27">
        <v>21.36</v>
      </c>
      <c r="F27">
        <f>((Table2[[#This Row],[Peak y]]-$E$2)/(Table2[[#Totals],[Normalised Time period]]*215.9))*2*PI()</f>
        <v>-2.3639891394217378</v>
      </c>
      <c r="G27">
        <f>MOD(Table2[[#This Row],[Phase diff]] + PI(), 2*PI())-PI()</f>
        <v>-2.3639891394217378</v>
      </c>
      <c r="H27">
        <v>166.69</v>
      </c>
      <c r="I27">
        <f>Table2[[#This Row],[Trough x]]/215.9</f>
        <v>0.77207040296433527</v>
      </c>
      <c r="J27">
        <f>(Table2[[#This Row],[Normalised peak x]]-Table2[[#This Row],[Normalised trough x]])/2</f>
        <v>1.9453450671607253E-2</v>
      </c>
      <c r="K27">
        <v>81.93</v>
      </c>
      <c r="L27">
        <f>ABS(Table2[[#This Row],[Second peak y]]-Table2[[#This Row],[Peak y]])/215.9</f>
        <v>0.28054654932839279</v>
      </c>
      <c r="M27">
        <v>0</v>
      </c>
      <c r="N27">
        <f>Table2[[#This Row],[Normalised phase diff]]+Table2[[#This Row],[Column1]]</f>
        <v>-2.3639891394217378</v>
      </c>
      <c r="O27">
        <f>$W$14-ABS($W$15*Table2[[#This Row],[Normalised index]] - $W$14)</f>
        <v>-2.4896551724137943</v>
      </c>
    </row>
    <row r="28" spans="1:15" ht="16" x14ac:dyDescent="0.2">
      <c r="A28">
        <f t="shared" si="0"/>
        <v>26</v>
      </c>
      <c r="B28">
        <f>Table2[[#This Row],[Index]]/29</f>
        <v>0.89655172413793105</v>
      </c>
      <c r="C28">
        <v>183.38</v>
      </c>
      <c r="D28">
        <f>Table2[[#This Row],[Peak x]]/215.9</f>
        <v>0.84937471051412683</v>
      </c>
      <c r="E28">
        <v>16.059999999999999</v>
      </c>
      <c r="F28">
        <f>((Table2[[#This Row],[Peak y]]-$E$2)/(Table2[[#Totals],[Normalised Time period]]*215.9))*2*PI()</f>
        <v>-2.9120706109412131</v>
      </c>
      <c r="G28">
        <f>MOD(Table2[[#This Row],[Phase diff]] + PI(), 2*PI())-PI()</f>
        <v>-2.9120706109412131</v>
      </c>
      <c r="H28">
        <v>175.19</v>
      </c>
      <c r="I28">
        <f>Table2[[#This Row],[Trough x]]/215.9</f>
        <v>0.81144048170449279</v>
      </c>
      <c r="J28">
        <f>(Table2[[#This Row],[Normalised peak x]]-Table2[[#This Row],[Normalised trough x]])/2</f>
        <v>1.896711440481702E-2</v>
      </c>
      <c r="K28">
        <v>76.08</v>
      </c>
      <c r="L28">
        <f>ABS(Table2[[#This Row],[Second peak y]]-Table2[[#This Row],[Peak y]])/215.9</f>
        <v>0.2779990736452061</v>
      </c>
      <c r="M28">
        <v>0</v>
      </c>
      <c r="N28">
        <f>Table2[[#This Row],[Normalised phase diff]]+Table2[[#This Row],[Column1]]</f>
        <v>-2.9120706109412131</v>
      </c>
      <c r="O28">
        <f>$W$14-ABS($W$15*Table2[[#This Row],[Normalised index]] - $W$14)</f>
        <v>-3.3172413793103459</v>
      </c>
    </row>
    <row r="29" spans="1:15" ht="16" x14ac:dyDescent="0.2">
      <c r="A29">
        <f t="shared" si="0"/>
        <v>27</v>
      </c>
      <c r="B29">
        <f>Table2[[#This Row],[Index]]/29</f>
        <v>0.93103448275862066</v>
      </c>
      <c r="C29">
        <v>192.74</v>
      </c>
      <c r="D29">
        <f>Table2[[#This Row],[Peak x]]/215.9</f>
        <v>0.89272811486799442</v>
      </c>
      <c r="E29">
        <v>10.24</v>
      </c>
      <c r="F29">
        <f>((Table2[[#This Row],[Peak y]]-$E$2)/(Table2[[#Totals],[Normalised Time period]]*215.9))*2*PI()</f>
        <v>-3.5139261136286373</v>
      </c>
      <c r="G29">
        <f>MOD(Table2[[#This Row],[Phase diff]] + PI(), 2*PI())-PI()</f>
        <v>2.7692591935509494</v>
      </c>
      <c r="H29">
        <v>184.25</v>
      </c>
      <c r="I29">
        <f>Table2[[#This Row],[Trough x]]/215.9</f>
        <v>0.85340435386753122</v>
      </c>
      <c r="J29">
        <f>(Table2[[#This Row],[Normalised peak x]]-Table2[[#This Row],[Normalised trough x]])/2</f>
        <v>1.9661880500231599E-2</v>
      </c>
      <c r="K29">
        <v>71.930000000000007</v>
      </c>
      <c r="L29">
        <f>ABS(Table2[[#This Row],[Second peak y]]-Table2[[#This Row],[Peak y]])/215.9</f>
        <v>0.28573413617415472</v>
      </c>
      <c r="M29">
        <f>-2*PI()</f>
        <v>-6.2831853071795862</v>
      </c>
      <c r="N29">
        <f>Table2[[#This Row],[Normalised phase diff]]+Table2[[#This Row],[Column1]]</f>
        <v>-3.5139261136286368</v>
      </c>
      <c r="O29">
        <f>$W$14-ABS($W$15*Table2[[#This Row],[Normalised index]] - $W$14)</f>
        <v>-4.1448275862068975</v>
      </c>
    </row>
    <row r="30" spans="1:15" ht="16" x14ac:dyDescent="0.2">
      <c r="A30">
        <f t="shared" si="0"/>
        <v>28</v>
      </c>
      <c r="B30">
        <f>Table2[[#This Row],[Index]]/29</f>
        <v>0.96551724137931039</v>
      </c>
      <c r="C30">
        <v>201.38</v>
      </c>
      <c r="D30">
        <f>Table2[[#This Row],[Peak x]]/215.9</f>
        <v>0.93274664196387214</v>
      </c>
      <c r="E30">
        <v>66.89</v>
      </c>
      <c r="F30">
        <f>((Table2[[#This Row],[Peak y]]-$E$2)/(Table2[[#Totals],[Normalised Time period]]*215.9))*2*PI()</f>
        <v>2.3443409357257563</v>
      </c>
      <c r="G30">
        <f>MOD(Table2[[#This Row],[Phase diff]] + PI(), 2*PI())-PI()</f>
        <v>2.3443409357257563</v>
      </c>
      <c r="H30">
        <v>192.75</v>
      </c>
      <c r="I30">
        <f>Table2[[#This Row],[Trough x]]/215.9</f>
        <v>0.89277443260768874</v>
      </c>
      <c r="J30">
        <f>(Table2[[#This Row],[Normalised peak x]]-Table2[[#This Row],[Normalised trough x]])/2</f>
        <v>1.9986104678091698E-2</v>
      </c>
      <c r="K30">
        <v>128.37</v>
      </c>
      <c r="L30">
        <f>ABS(Table2[[#This Row],[Second peak y]]-Table2[[#This Row],[Peak y]])/215.9</f>
        <v>0.28476146364057436</v>
      </c>
      <c r="M30">
        <f t="shared" ref="M30:M31" si="3">-2*PI()</f>
        <v>-6.2831853071795862</v>
      </c>
      <c r="N30">
        <f>Table2[[#This Row],[Normalised phase diff]]+Table2[[#This Row],[Column1]]</f>
        <v>-3.9388443714538299</v>
      </c>
      <c r="O30">
        <f>$W$14-ABS($W$15*Table2[[#This Row],[Normalised index]] - $W$14)</f>
        <v>-4.9724137931034491</v>
      </c>
    </row>
    <row r="31" spans="1:15" ht="16" x14ac:dyDescent="0.2">
      <c r="A31">
        <f t="shared" si="0"/>
        <v>29</v>
      </c>
      <c r="B31">
        <f>Table2[[#This Row],[Index]]/29</f>
        <v>1</v>
      </c>
      <c r="C31">
        <v>210.91</v>
      </c>
      <c r="D31">
        <f>Table2[[#This Row],[Peak x]]/215.9</f>
        <v>0.97688744789254278</v>
      </c>
      <c r="E31">
        <f>62.13</f>
        <v>62.13</v>
      </c>
      <c r="F31">
        <f>((Table2[[#This Row],[Peak y]]-$E$2)/(Table2[[#Totals],[Normalised Time period]]*215.9))*2*PI()</f>
        <v>1.852101727342228</v>
      </c>
      <c r="G31">
        <f>MOD(Table2[[#This Row],[Phase diff]] + PI(), 2*PI())-PI()</f>
        <v>1.8521017273422284</v>
      </c>
      <c r="H31">
        <v>202.56</v>
      </c>
      <c r="I31">
        <f>Table2[[#This Row],[Trough x]]/215.9</f>
        <v>0.93821213524779989</v>
      </c>
      <c r="J31">
        <f>(Table2[[#This Row],[Normalised peak x]]-Table2[[#This Row],[Normalised trough x]])/2</f>
        <v>1.9337656322371444E-2</v>
      </c>
      <c r="K31">
        <v>122.71</v>
      </c>
      <c r="L31">
        <f>ABS(Table2[[#This Row],[Second peak y]]-Table2[[#This Row],[Peak y]])/215.9</f>
        <v>0.280592867068087</v>
      </c>
      <c r="M31">
        <f t="shared" si="3"/>
        <v>-6.2831853071795862</v>
      </c>
      <c r="N31">
        <f>Table2[[#This Row],[Normalised phase diff]]+Table2[[#This Row],[Column1]]</f>
        <v>-4.4310835798373578</v>
      </c>
      <c r="O31">
        <f>$W$14-ABS($W$15*Table2[[#This Row],[Normalised index]] - $W$14)</f>
        <v>-5.8000000000000007</v>
      </c>
    </row>
    <row r="32" spans="1:15" ht="16" x14ac:dyDescent="0.2">
      <c r="J32">
        <f>AVERAGE(Table2[Amplitude])</f>
        <v>1.9519839431835728E-2</v>
      </c>
      <c r="L32">
        <f>AVERAGE(Table2[Normalised Time period])</f>
        <v>0.28142195460861508</v>
      </c>
    </row>
    <row r="33" spans="10:12" ht="16" x14ac:dyDescent="0.2">
      <c r="J33">
        <f>STDEV(Table2[Amplitude])</f>
        <v>3.9479067384473935E-4</v>
      </c>
      <c r="L33">
        <f>STDEV(Table2[Normalised Time period])</f>
        <v>3.4280166701473359E-3</v>
      </c>
    </row>
    <row r="37" spans="10:12" ht="15.75" customHeight="1" x14ac:dyDescent="0.2">
      <c r="L37">
        <f>215.9*Table2[[#Totals],[Normalised Time period]]</f>
        <v>60.758999999999993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BCAFF-488C-994E-8346-52160BA29112}">
  <dimension ref="A1:X38"/>
  <sheetViews>
    <sheetView topLeftCell="C26" zoomScale="83" zoomScaleNormal="100" workbookViewId="0">
      <selection activeCell="G3" sqref="G3"/>
    </sheetView>
  </sheetViews>
  <sheetFormatPr baseColWidth="10" defaultColWidth="11" defaultRowHeight="16" x14ac:dyDescent="0.2"/>
  <cols>
    <col min="19" max="19" width="10.83203125" customWidth="1"/>
  </cols>
  <sheetData>
    <row r="1" spans="1:20" x14ac:dyDescent="0.2">
      <c r="A1" t="s">
        <v>48</v>
      </c>
      <c r="B1" t="s">
        <v>49</v>
      </c>
      <c r="C1" t="s">
        <v>50</v>
      </c>
      <c r="D1" t="s">
        <v>51</v>
      </c>
      <c r="E1" t="s">
        <v>5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Q1" t="s">
        <v>58</v>
      </c>
      <c r="S1" t="s">
        <v>59</v>
      </c>
      <c r="T1">
        <f>0.02</f>
        <v>0.02</v>
      </c>
    </row>
    <row r="2" spans="1:20" x14ac:dyDescent="0.2">
      <c r="A2">
        <v>0</v>
      </c>
      <c r="B2">
        <v>7.84</v>
      </c>
      <c r="C2">
        <f>Table24[[#This Row],[UB]]/197</f>
        <v>0</v>
      </c>
      <c r="D2">
        <f>Table24[[#This Row],[LB]]/197</f>
        <v>3.9796954314720814E-2</v>
      </c>
      <c r="E2">
        <f t="shared" ref="E2:E38" si="0">ABS(D2-C2)</f>
        <v>3.9796954314720814E-2</v>
      </c>
      <c r="F2">
        <f>Table24[[#This Row],[Height]]/2</f>
        <v>1.9898477157360407E-2</v>
      </c>
      <c r="G2">
        <f>MIN($Q$2*ABS((Table24[[#This Row],[Normalised Index]]+$S$5))+$Q$5, $T$1)</f>
        <v>1.9980000000000001E-2</v>
      </c>
      <c r="H2">
        <f>Table24[[#This Row],[index]]/36</f>
        <v>0</v>
      </c>
      <c r="I2">
        <v>0</v>
      </c>
      <c r="J2">
        <f>ABS(A3-Table24[[#This Row],[LB]])</f>
        <v>0.21000000000000085</v>
      </c>
      <c r="Q2">
        <v>5.1999999999999998E-2</v>
      </c>
      <c r="S2" t="s">
        <v>60</v>
      </c>
      <c r="T2">
        <v>58.4</v>
      </c>
    </row>
    <row r="3" spans="1:20" x14ac:dyDescent="0.2">
      <c r="A3">
        <v>8.0500000000000007</v>
      </c>
      <c r="B3">
        <v>15.47</v>
      </c>
      <c r="C3">
        <f>Table24[[#This Row],[UB]]/197</f>
        <v>4.0862944162436549E-2</v>
      </c>
      <c r="D3">
        <f>Table24[[#This Row],[LB]]/197</f>
        <v>7.8527918781725894E-2</v>
      </c>
      <c r="E3">
        <f t="shared" si="0"/>
        <v>3.7664974619289346E-2</v>
      </c>
      <c r="F3">
        <f>Table24[[#This Row],[Height]]/2</f>
        <v>1.8832487309644673E-2</v>
      </c>
      <c r="G3">
        <f>MIN($Q$2*ABS((Table24[[#This Row],[Normalised Index]]+$S$5))+$Q$5, $T$1)</f>
        <v>1.8535555555555555E-2</v>
      </c>
      <c r="H3">
        <f>Table24[[#This Row],[index]]/36</f>
        <v>2.7777777777777776E-2</v>
      </c>
      <c r="I3">
        <f>I2+1</f>
        <v>1</v>
      </c>
      <c r="J3">
        <f>ABS(A4-Table24[[#This Row],[LB]])</f>
        <v>0.20999999999999908</v>
      </c>
      <c r="M3" t="s">
        <v>61</v>
      </c>
    </row>
    <row r="4" spans="1:20" x14ac:dyDescent="0.2">
      <c r="A4">
        <v>15.68</v>
      </c>
      <c r="B4">
        <v>22.28</v>
      </c>
      <c r="C4">
        <f>Table24[[#This Row],[UB]]/197</f>
        <v>7.9593908629441629E-2</v>
      </c>
      <c r="D4">
        <f>Table24[[#This Row],[LB]]/197</f>
        <v>0.11309644670050761</v>
      </c>
      <c r="E4">
        <f t="shared" si="0"/>
        <v>3.3502538071065985E-2</v>
      </c>
      <c r="F4">
        <f>Table24[[#This Row],[Height]]/2</f>
        <v>1.6751269035532992E-2</v>
      </c>
      <c r="G4">
        <f>MIN($Q$2*ABS((Table24[[#This Row],[Normalised Index]]+$S$5))+$Q$5, $T$1)</f>
        <v>1.7091111111111109E-2</v>
      </c>
      <c r="H4">
        <f>Table24[[#This Row],[index]]/36</f>
        <v>5.5555555555555552E-2</v>
      </c>
      <c r="I4">
        <f t="shared" ref="I4:I38" si="1">I3+1</f>
        <v>2</v>
      </c>
      <c r="J4">
        <f>ABS(A5-Table24[[#This Row],[LB]])</f>
        <v>0.41000000000000014</v>
      </c>
      <c r="Q4" t="s">
        <v>62</v>
      </c>
      <c r="S4" t="s">
        <v>63</v>
      </c>
    </row>
    <row r="5" spans="1:20" x14ac:dyDescent="0.2">
      <c r="A5">
        <v>22.69</v>
      </c>
      <c r="B5">
        <v>28.68</v>
      </c>
      <c r="C5">
        <f>Table24[[#This Row],[UB]]/197</f>
        <v>0.1151776649746193</v>
      </c>
      <c r="D5">
        <f>Table24[[#This Row],[LB]]/197</f>
        <v>0.14558375634517767</v>
      </c>
      <c r="E5">
        <f t="shared" si="0"/>
        <v>3.0406091370558372E-2</v>
      </c>
      <c r="F5">
        <f>Table24[[#This Row],[Height]]/2</f>
        <v>1.5203045685279186E-2</v>
      </c>
      <c r="G5">
        <f>MIN($Q$2*ABS((Table24[[#This Row],[Normalised Index]]+$S$5))+$Q$5, $T$1)</f>
        <v>1.5646666666666666E-2</v>
      </c>
      <c r="H5">
        <f>Table24[[#This Row],[index]]/36</f>
        <v>8.3333333333333329E-2</v>
      </c>
      <c r="I5">
        <f t="shared" si="1"/>
        <v>3</v>
      </c>
      <c r="J5">
        <f>ABS(A6-Table24[[#This Row],[LB]])</f>
        <v>0</v>
      </c>
      <c r="Q5">
        <v>1E-3</v>
      </c>
      <c r="S5">
        <v>-0.36499999999999999</v>
      </c>
    </row>
    <row r="6" spans="1:20" x14ac:dyDescent="0.2">
      <c r="A6">
        <v>28.68</v>
      </c>
      <c r="B6">
        <v>34.450000000000003</v>
      </c>
      <c r="C6">
        <f>Table24[[#This Row],[UB]]/197</f>
        <v>0.14558375634517767</v>
      </c>
      <c r="D6">
        <f>Table24[[#This Row],[LB]]/197</f>
        <v>0.17487309644670052</v>
      </c>
      <c r="E6">
        <f t="shared" si="0"/>
        <v>2.9289340101522843E-2</v>
      </c>
      <c r="F6">
        <f>Table24[[#This Row],[Height]]/2</f>
        <v>1.4644670050761421E-2</v>
      </c>
      <c r="G6">
        <f>MIN($Q$2*ABS((Table24[[#This Row],[Normalised Index]]+$S$5))+$Q$5, $T$1)</f>
        <v>1.420222222222222E-2</v>
      </c>
      <c r="H6">
        <f>Table24[[#This Row],[index]]/36</f>
        <v>0.1111111111111111</v>
      </c>
      <c r="I6">
        <f t="shared" si="1"/>
        <v>4</v>
      </c>
      <c r="J6">
        <f>ABS(A7-Table24[[#This Row],[LB]])</f>
        <v>0.20000000000000284</v>
      </c>
    </row>
    <row r="7" spans="1:20" x14ac:dyDescent="0.2">
      <c r="A7">
        <v>34.25</v>
      </c>
      <c r="B7">
        <v>39.200000000000003</v>
      </c>
      <c r="C7">
        <f>Table24[[#This Row],[UB]]/197</f>
        <v>0.17385786802030456</v>
      </c>
      <c r="D7">
        <f>Table24[[#This Row],[LB]]/197</f>
        <v>0.19898477157360409</v>
      </c>
      <c r="E7">
        <f t="shared" si="0"/>
        <v>2.5126903553299523E-2</v>
      </c>
      <c r="F7">
        <f>Table24[[#This Row],[Height]]/2</f>
        <v>1.2563451776649762E-2</v>
      </c>
      <c r="G7">
        <f>MIN($Q$2*ABS((Table24[[#This Row],[Normalised Index]]+$S$5))+$Q$5, $T$1)</f>
        <v>1.2757777777777778E-2</v>
      </c>
      <c r="H7">
        <f>Table24[[#This Row],[index]]/36</f>
        <v>0.1388888888888889</v>
      </c>
      <c r="I7">
        <f t="shared" si="1"/>
        <v>5</v>
      </c>
      <c r="J7">
        <f>ABS(A8-Table24[[#This Row],[LB]])</f>
        <v>0.19999999999999574</v>
      </c>
    </row>
    <row r="8" spans="1:20" x14ac:dyDescent="0.2">
      <c r="A8">
        <v>39.4</v>
      </c>
      <c r="B8">
        <v>43.74</v>
      </c>
      <c r="C8">
        <f>Table24[[#This Row],[UB]]/197</f>
        <v>0.19999999999999998</v>
      </c>
      <c r="D8">
        <f>Table24[[#This Row],[LB]]/197</f>
        <v>0.22203045685279188</v>
      </c>
      <c r="E8">
        <f t="shared" si="0"/>
        <v>2.2030456852791896E-2</v>
      </c>
      <c r="F8">
        <f>Table24[[#This Row],[Height]]/2</f>
        <v>1.1015228426395948E-2</v>
      </c>
      <c r="G8">
        <f>MIN($Q$2*ABS((Table24[[#This Row],[Normalised Index]]+$S$5))+$Q$5, $T$1)</f>
        <v>1.1313333333333331E-2</v>
      </c>
      <c r="H8">
        <f>Table24[[#This Row],[index]]/36</f>
        <v>0.16666666666666666</v>
      </c>
      <c r="I8">
        <f t="shared" si="1"/>
        <v>6</v>
      </c>
      <c r="J8">
        <f>ABS(A9-Table24[[#This Row],[LB]])</f>
        <v>0.19999999999999574</v>
      </c>
    </row>
    <row r="9" spans="1:20" x14ac:dyDescent="0.2">
      <c r="A9">
        <v>43.94</v>
      </c>
      <c r="B9">
        <v>47.66</v>
      </c>
      <c r="C9">
        <f>Table24[[#This Row],[UB]]/197</f>
        <v>0.22304568527918781</v>
      </c>
      <c r="D9">
        <f>Table24[[#This Row],[LB]]/197</f>
        <v>0.24192893401015228</v>
      </c>
      <c r="E9">
        <f t="shared" si="0"/>
        <v>1.8883248730964475E-2</v>
      </c>
      <c r="F9">
        <f>Table24[[#This Row],[Height]]/2</f>
        <v>9.4416243654822374E-3</v>
      </c>
      <c r="G9">
        <f>MIN($Q$2*ABS((Table24[[#This Row],[Normalised Index]]+$S$5))+$Q$5, $T$1)</f>
        <v>9.8688888888888888E-3</v>
      </c>
      <c r="H9">
        <f>Table24[[#This Row],[index]]/36</f>
        <v>0.19444444444444445</v>
      </c>
      <c r="I9">
        <f t="shared" si="1"/>
        <v>7</v>
      </c>
      <c r="J9">
        <f>ABS(A10-Table24[[#This Row],[LB]])</f>
        <v>0.20000000000000284</v>
      </c>
    </row>
    <row r="10" spans="1:20" x14ac:dyDescent="0.2">
      <c r="A10">
        <v>47.86</v>
      </c>
      <c r="B10">
        <v>51.37</v>
      </c>
      <c r="C10">
        <f>Table24[[#This Row],[UB]]/197</f>
        <v>0.24294416243654823</v>
      </c>
      <c r="D10">
        <f>Table24[[#This Row],[LB]]/197</f>
        <v>0.26076142131979696</v>
      </c>
      <c r="E10">
        <f t="shared" si="0"/>
        <v>1.7817258883248727E-2</v>
      </c>
      <c r="F10">
        <f>Table24[[#This Row],[Height]]/2</f>
        <v>8.9086294416243633E-3</v>
      </c>
      <c r="G10">
        <f>MIN($Q$2*ABS((Table24[[#This Row],[Normalised Index]]+$S$5))+$Q$5, $T$1)</f>
        <v>8.4244444444444445E-3</v>
      </c>
      <c r="H10">
        <f>Table24[[#This Row],[index]]/36</f>
        <v>0.22222222222222221</v>
      </c>
      <c r="I10">
        <f t="shared" si="1"/>
        <v>8</v>
      </c>
      <c r="J10">
        <f>ABS(A11-Table24[[#This Row],[LB]])</f>
        <v>0.21000000000000085</v>
      </c>
    </row>
    <row r="11" spans="1:20" x14ac:dyDescent="0.2">
      <c r="A11">
        <v>51.16</v>
      </c>
      <c r="B11">
        <v>53.84</v>
      </c>
      <c r="C11">
        <f>Table24[[#This Row],[UB]]/197</f>
        <v>0.25969543147208118</v>
      </c>
      <c r="D11">
        <f>Table24[[#This Row],[LB]]/197</f>
        <v>0.27329949238578682</v>
      </c>
      <c r="E11">
        <f t="shared" si="0"/>
        <v>1.360406091370564E-2</v>
      </c>
      <c r="F11">
        <f>Table24[[#This Row],[Height]]/2</f>
        <v>6.80203045685282E-3</v>
      </c>
      <c r="G11">
        <f>MIN($Q$2*ABS((Table24[[#This Row],[Normalised Index]]+$S$5))+$Q$5, $T$1)</f>
        <v>6.9799999999999992E-3</v>
      </c>
      <c r="H11">
        <f>Table24[[#This Row],[index]]/36</f>
        <v>0.25</v>
      </c>
      <c r="I11">
        <f t="shared" si="1"/>
        <v>9</v>
      </c>
      <c r="J11">
        <f>ABS(A12-Table24[[#This Row],[LB]])</f>
        <v>0.20000000000000284</v>
      </c>
    </row>
    <row r="12" spans="1:20" x14ac:dyDescent="0.2">
      <c r="A12">
        <v>53.64</v>
      </c>
      <c r="B12">
        <v>55.91</v>
      </c>
      <c r="C12">
        <f>Table24[[#This Row],[UB]]/197</f>
        <v>0.27228426395939087</v>
      </c>
      <c r="D12">
        <f>Table24[[#This Row],[LB]]/197</f>
        <v>0.28380710659898478</v>
      </c>
      <c r="E12">
        <f t="shared" si="0"/>
        <v>1.1522842639593911E-2</v>
      </c>
      <c r="F12">
        <f>Table24[[#This Row],[Height]]/2</f>
        <v>5.7614213197969555E-3</v>
      </c>
      <c r="G12">
        <f>MIN($Q$2*ABS((Table24[[#This Row],[Normalised Index]]+$S$5))+$Q$5, $T$1)</f>
        <v>5.535555555555554E-3</v>
      </c>
      <c r="H12">
        <f>Table24[[#This Row],[index]]/36</f>
        <v>0.27777777777777779</v>
      </c>
      <c r="I12">
        <f t="shared" si="1"/>
        <v>10</v>
      </c>
      <c r="J12">
        <f>ABS(A13-Table24[[#This Row],[LB]])</f>
        <v>0.20999999999999375</v>
      </c>
    </row>
    <row r="13" spans="1:20" x14ac:dyDescent="0.2">
      <c r="A13">
        <v>55.7</v>
      </c>
      <c r="B13">
        <v>57.15</v>
      </c>
      <c r="C13">
        <f>Table24[[#This Row],[UB]]/197</f>
        <v>0.28274111675126906</v>
      </c>
      <c r="D13">
        <f>Table24[[#This Row],[LB]]/197</f>
        <v>0.29010152284263957</v>
      </c>
      <c r="E13">
        <f t="shared" si="0"/>
        <v>7.3604060913705083E-3</v>
      </c>
      <c r="F13">
        <f>Table24[[#This Row],[Height]]/2</f>
        <v>3.6802030456852541E-3</v>
      </c>
      <c r="G13">
        <f>MIN($Q$2*ABS((Table24[[#This Row],[Normalised Index]]+$S$5))+$Q$5, $T$1)</f>
        <v>4.0911111111111096E-3</v>
      </c>
      <c r="H13">
        <f>Table24[[#This Row],[index]]/36</f>
        <v>0.30555555555555558</v>
      </c>
      <c r="I13">
        <f t="shared" si="1"/>
        <v>11</v>
      </c>
      <c r="J13">
        <f>ABS(A14-Table24[[#This Row],[LB]])</f>
        <v>0.20000000000000284</v>
      </c>
    </row>
    <row r="14" spans="1:20" x14ac:dyDescent="0.2">
      <c r="A14">
        <v>57.35</v>
      </c>
      <c r="B14">
        <v>58.18</v>
      </c>
      <c r="C14">
        <f>Table24[[#This Row],[UB]]/197</f>
        <v>0.29111675126903552</v>
      </c>
      <c r="D14">
        <f>Table24[[#This Row],[LB]]/197</f>
        <v>0.29532994923857869</v>
      </c>
      <c r="E14">
        <f t="shared" si="0"/>
        <v>4.2131979695431698E-3</v>
      </c>
      <c r="F14">
        <f>Table24[[#This Row],[Height]]/2</f>
        <v>2.1065989847715849E-3</v>
      </c>
      <c r="G14">
        <f>MIN($Q$2*ABS((Table24[[#This Row],[Normalised Index]]+$S$5))+$Q$5, $T$1)</f>
        <v>2.646666666666667E-3</v>
      </c>
      <c r="H14">
        <f>Table24[[#This Row],[index]]/36</f>
        <v>0.33333333333333331</v>
      </c>
      <c r="I14">
        <f t="shared" si="1"/>
        <v>12</v>
      </c>
      <c r="J14">
        <f>ABS(A15-Table24[[#This Row],[LB]])</f>
        <v>0</v>
      </c>
    </row>
    <row r="15" spans="1:20" x14ac:dyDescent="0.2">
      <c r="A15">
        <v>58.18</v>
      </c>
      <c r="B15">
        <v>59.21</v>
      </c>
      <c r="C15">
        <f>Table24[[#This Row],[UB]]/197</f>
        <v>0.29532994923857869</v>
      </c>
      <c r="D15">
        <f>Table24[[#This Row],[LB]]/197</f>
        <v>0.30055837563451776</v>
      </c>
      <c r="E15">
        <f t="shared" si="0"/>
        <v>5.2284263959390676E-3</v>
      </c>
      <c r="F15">
        <f>Table24[[#This Row],[Height]]/2</f>
        <v>2.6142131979695338E-3</v>
      </c>
      <c r="G15">
        <f>MIN($Q$2*ABS((Table24[[#This Row],[Normalised Index]]+$S$5))+$Q$5, $T$1)</f>
        <v>1.2022222222222221E-3</v>
      </c>
      <c r="H15">
        <f>Table24[[#This Row],[index]]/36</f>
        <v>0.3611111111111111</v>
      </c>
      <c r="I15">
        <f t="shared" si="1"/>
        <v>13</v>
      </c>
      <c r="J15">
        <f>ABS(A16-Table24[[#This Row],[LB]])</f>
        <v>0</v>
      </c>
    </row>
    <row r="16" spans="1:20" x14ac:dyDescent="0.2">
      <c r="A16">
        <v>59.21</v>
      </c>
      <c r="B16">
        <v>60.45</v>
      </c>
      <c r="C16">
        <f>Table24[[#This Row],[UB]]/197</f>
        <v>0.30055837563451776</v>
      </c>
      <c r="D16">
        <f>Table24[[#This Row],[LB]]/197</f>
        <v>0.3068527918781726</v>
      </c>
      <c r="E16">
        <f t="shared" si="0"/>
        <v>6.2944162436548434E-3</v>
      </c>
      <c r="F16">
        <f>Table24[[#This Row],[Height]]/2</f>
        <v>3.1472081218274217E-3</v>
      </c>
      <c r="G16">
        <f>MIN($Q$2*ABS((Table24[[#This Row],[Normalised Index]]+$S$5))+$Q$5, $T$1)</f>
        <v>2.2422222222222227E-3</v>
      </c>
      <c r="H16">
        <f>Table24[[#This Row],[index]]/36</f>
        <v>0.3888888888888889</v>
      </c>
      <c r="I16">
        <f t="shared" si="1"/>
        <v>14</v>
      </c>
      <c r="J16">
        <f>ABS(A17-Table24[[#This Row],[LB]])</f>
        <v>0</v>
      </c>
    </row>
    <row r="17" spans="1:24" x14ac:dyDescent="0.2">
      <c r="A17">
        <v>60.45</v>
      </c>
      <c r="B17">
        <v>61.89</v>
      </c>
      <c r="C17">
        <f>Table24[[#This Row],[UB]]/197</f>
        <v>0.3068527918781726</v>
      </c>
      <c r="D17">
        <f>Table24[[#This Row],[LB]]/197</f>
        <v>0.31416243654822334</v>
      </c>
      <c r="E17">
        <f t="shared" si="0"/>
        <v>7.3096446700507411E-3</v>
      </c>
      <c r="F17">
        <f>Table24[[#This Row],[Height]]/2</f>
        <v>3.6548223350253706E-3</v>
      </c>
      <c r="G17">
        <f>MIN($Q$2*ABS((Table24[[#This Row],[Normalised Index]]+$S$5))+$Q$5, $T$1)</f>
        <v>3.686666666666668E-3</v>
      </c>
      <c r="H17">
        <f>Table24[[#This Row],[index]]/36</f>
        <v>0.41666666666666669</v>
      </c>
      <c r="I17">
        <f t="shared" si="1"/>
        <v>15</v>
      </c>
      <c r="J17">
        <f>ABS(A18-Table24[[#This Row],[LB]])</f>
        <v>0</v>
      </c>
    </row>
    <row r="18" spans="1:24" x14ac:dyDescent="0.2">
      <c r="A18">
        <v>61.89</v>
      </c>
      <c r="B18">
        <v>63.95</v>
      </c>
      <c r="C18">
        <f>Table24[[#This Row],[UB]]/197</f>
        <v>0.31416243654822334</v>
      </c>
      <c r="D18">
        <f>Table24[[#This Row],[LB]]/197</f>
        <v>0.32461928934010154</v>
      </c>
      <c r="E18">
        <f t="shared" si="0"/>
        <v>1.0456852791878191E-2</v>
      </c>
      <c r="F18">
        <f>Table24[[#This Row],[Height]]/2</f>
        <v>5.2284263959390953E-3</v>
      </c>
      <c r="G18">
        <f>MIN($Q$2*ABS((Table24[[#This Row],[Normalised Index]]+$S$5))+$Q$5, $T$1)</f>
        <v>5.1311111111111097E-3</v>
      </c>
      <c r="H18">
        <f>Table24[[#This Row],[index]]/36</f>
        <v>0.44444444444444442</v>
      </c>
      <c r="I18">
        <f t="shared" si="1"/>
        <v>16</v>
      </c>
      <c r="J18">
        <f>ABS(A19-Table24[[#This Row],[LB]])</f>
        <v>0.20999999999999375</v>
      </c>
    </row>
    <row r="19" spans="1:24" x14ac:dyDescent="0.2">
      <c r="A19">
        <v>64.16</v>
      </c>
      <c r="B19">
        <v>66.64</v>
      </c>
      <c r="C19">
        <f>Table24[[#This Row],[UB]]/197</f>
        <v>0.32568527918781726</v>
      </c>
      <c r="D19">
        <f>Table24[[#This Row],[LB]]/197</f>
        <v>0.33827411167512689</v>
      </c>
      <c r="E19">
        <f t="shared" si="0"/>
        <v>1.2588832487309631E-2</v>
      </c>
      <c r="F19">
        <f>Table24[[#This Row],[Height]]/2</f>
        <v>6.2944162436548157E-3</v>
      </c>
      <c r="G19">
        <f>MIN($Q$2*ABS((Table24[[#This Row],[Normalised Index]]+$S$5))+$Q$5, $T$1)</f>
        <v>6.575555555555555E-3</v>
      </c>
      <c r="H19">
        <f>Table24[[#This Row],[index]]/36</f>
        <v>0.47222222222222221</v>
      </c>
      <c r="I19">
        <f t="shared" si="1"/>
        <v>17</v>
      </c>
      <c r="J19">
        <f>ABS(A20-Table24[[#This Row],[LB]])</f>
        <v>0.20000000000000284</v>
      </c>
    </row>
    <row r="20" spans="1:24" x14ac:dyDescent="0.2">
      <c r="A20">
        <v>66.84</v>
      </c>
      <c r="B20">
        <v>69.94</v>
      </c>
      <c r="C20">
        <f>Table24[[#This Row],[UB]]/197</f>
        <v>0.33928934010152284</v>
      </c>
      <c r="D20">
        <f>Table24[[#This Row],[LB]]/197</f>
        <v>0.35502538071065987</v>
      </c>
      <c r="E20">
        <f t="shared" si="0"/>
        <v>1.5736040609137025E-2</v>
      </c>
      <c r="F20">
        <f>Table24[[#This Row],[Height]]/2</f>
        <v>7.8680203045685126E-3</v>
      </c>
      <c r="G20">
        <f>MIN($Q$2*ABS((Table24[[#This Row],[Normalised Index]]+$S$5))+$Q$5, $T$1)</f>
        <v>8.0199999999999994E-3</v>
      </c>
      <c r="H20">
        <f>Table24[[#This Row],[index]]/36</f>
        <v>0.5</v>
      </c>
      <c r="I20">
        <f t="shared" si="1"/>
        <v>18</v>
      </c>
      <c r="J20">
        <f>ABS(A21-Table24[[#This Row],[LB]])</f>
        <v>0.20000000000000284</v>
      </c>
    </row>
    <row r="21" spans="1:24" x14ac:dyDescent="0.2">
      <c r="A21">
        <v>70.14</v>
      </c>
      <c r="B21">
        <v>73.650000000000006</v>
      </c>
      <c r="C21">
        <f>Table24[[#This Row],[UB]]/197</f>
        <v>0.35604060913705582</v>
      </c>
      <c r="D21">
        <f>Table24[[#This Row],[LB]]/197</f>
        <v>0.37385786802030457</v>
      </c>
      <c r="E21">
        <f t="shared" si="0"/>
        <v>1.7817258883248754E-2</v>
      </c>
      <c r="F21">
        <f>Table24[[#This Row],[Height]]/2</f>
        <v>8.9086294416243772E-3</v>
      </c>
      <c r="G21">
        <f>MIN($Q$2*ABS((Table24[[#This Row],[Normalised Index]]+$S$5))+$Q$5, $T$1)</f>
        <v>9.4644444444444455E-3</v>
      </c>
      <c r="H21">
        <f>Table24[[#This Row],[index]]/36</f>
        <v>0.52777777777777779</v>
      </c>
      <c r="I21">
        <f t="shared" si="1"/>
        <v>19</v>
      </c>
      <c r="J21">
        <f>ABS(A22-Table24[[#This Row],[LB]])</f>
        <v>0.40999999999999659</v>
      </c>
    </row>
    <row r="22" spans="1:24" x14ac:dyDescent="0.2">
      <c r="A22">
        <v>74.06</v>
      </c>
      <c r="B22">
        <v>78.19</v>
      </c>
      <c r="C22">
        <f>Table24[[#This Row],[UB]]/197</f>
        <v>0.37593908629441625</v>
      </c>
      <c r="D22">
        <f>Table24[[#This Row],[LB]]/197</f>
        <v>0.3969035532994924</v>
      </c>
      <c r="E22">
        <f t="shared" si="0"/>
        <v>2.0964467005076148E-2</v>
      </c>
      <c r="F22">
        <f>Table24[[#This Row],[Height]]/2</f>
        <v>1.0482233502538074E-2</v>
      </c>
      <c r="G22">
        <f>MIN($Q$2*ABS((Table24[[#This Row],[Normalised Index]]+$S$5))+$Q$5, $T$1)</f>
        <v>1.0908888888888892E-2</v>
      </c>
      <c r="H22">
        <f>Table24[[#This Row],[index]]/36</f>
        <v>0.55555555555555558</v>
      </c>
      <c r="I22">
        <f t="shared" si="1"/>
        <v>20</v>
      </c>
      <c r="J22">
        <f>ABS(A23-Table24[[#This Row],[LB]])</f>
        <v>0.20000000000000284</v>
      </c>
    </row>
    <row r="23" spans="1:24" x14ac:dyDescent="0.2">
      <c r="A23">
        <v>78.39</v>
      </c>
      <c r="B23">
        <v>83.14</v>
      </c>
      <c r="C23">
        <f>Table24[[#This Row],[UB]]/197</f>
        <v>0.39791878172588835</v>
      </c>
      <c r="D23">
        <f>Table24[[#This Row],[LB]]/197</f>
        <v>0.42203045685279189</v>
      </c>
      <c r="E23">
        <f t="shared" si="0"/>
        <v>2.4111675126903542E-2</v>
      </c>
      <c r="F23">
        <f>Table24[[#This Row],[Height]]/2</f>
        <v>1.2055837563451771E-2</v>
      </c>
      <c r="G23">
        <f>MIN($Q$2*ABS((Table24[[#This Row],[Normalised Index]]+$S$5))+$Q$5, $T$1)</f>
        <v>1.2353333333333334E-2</v>
      </c>
      <c r="H23">
        <f>Table24[[#This Row],[index]]/36</f>
        <v>0.58333333333333337</v>
      </c>
      <c r="I23">
        <f t="shared" si="1"/>
        <v>21</v>
      </c>
      <c r="J23">
        <f>ABS(A24-Table24[[#This Row],[LB]])</f>
        <v>0.40999999999999659</v>
      </c>
      <c r="W23" t="s">
        <v>64</v>
      </c>
      <c r="X23">
        <v>1</v>
      </c>
    </row>
    <row r="24" spans="1:24" x14ac:dyDescent="0.2">
      <c r="A24">
        <v>83.55</v>
      </c>
      <c r="B24">
        <v>88.92</v>
      </c>
      <c r="C24">
        <f>Table24[[#This Row],[UB]]/197</f>
        <v>0.42411167512690356</v>
      </c>
      <c r="D24">
        <f>Table24[[#This Row],[LB]]/197</f>
        <v>0.4513705583756345</v>
      </c>
      <c r="E24">
        <f t="shared" si="0"/>
        <v>2.7258883248730936E-2</v>
      </c>
      <c r="F24">
        <f>Table24[[#This Row],[Height]]/2</f>
        <v>1.3629441624365468E-2</v>
      </c>
      <c r="G24">
        <f>MIN($Q$2*ABS((Table24[[#This Row],[Normalised Index]]+$S$5))+$Q$5, $T$1)</f>
        <v>1.379777777777778E-2</v>
      </c>
      <c r="H24">
        <f>Table24[[#This Row],[index]]/36</f>
        <v>0.61111111111111116</v>
      </c>
      <c r="I24">
        <f t="shared" si="1"/>
        <v>22</v>
      </c>
      <c r="J24">
        <f>ABS(A25-Table24[[#This Row],[LB]])</f>
        <v>0.21999999999999886</v>
      </c>
      <c r="W24" t="s">
        <v>65</v>
      </c>
      <c r="X24">
        <v>1</v>
      </c>
    </row>
    <row r="25" spans="1:24" x14ac:dyDescent="0.2">
      <c r="A25">
        <v>88.7</v>
      </c>
      <c r="B25">
        <v>94.66</v>
      </c>
      <c r="C25">
        <f>Table24[[#This Row],[UB]]/197</f>
        <v>0.45025380710659901</v>
      </c>
      <c r="D25">
        <f>Table24[[#This Row],[LB]]/197</f>
        <v>0.48050761421319793</v>
      </c>
      <c r="E25">
        <f t="shared" si="0"/>
        <v>3.0253807106598918E-2</v>
      </c>
      <c r="F25">
        <f>Table24[[#This Row],[Height]]/2</f>
        <v>1.5126903553299459E-2</v>
      </c>
      <c r="G25">
        <f>MIN($Q$2*ABS((Table24[[#This Row],[Normalised Index]]+$S$5))+$Q$5, $T$1)</f>
        <v>1.524222222222222E-2</v>
      </c>
      <c r="H25">
        <f>Table24[[#This Row],[index]]/36</f>
        <v>0.63888888888888884</v>
      </c>
      <c r="I25">
        <f t="shared" si="1"/>
        <v>23</v>
      </c>
      <c r="J25">
        <f>ABS(A26-Table24[[#This Row],[LB]])</f>
        <v>0.35000000000000853</v>
      </c>
      <c r="W25" t="s">
        <v>66</v>
      </c>
      <c r="X25">
        <v>1</v>
      </c>
    </row>
    <row r="26" spans="1:24" x14ac:dyDescent="0.2">
      <c r="A26">
        <v>95.01</v>
      </c>
      <c r="B26">
        <v>101.32</v>
      </c>
      <c r="C26">
        <f>Table24[[#This Row],[UB]]/197</f>
        <v>0.48228426395939089</v>
      </c>
      <c r="D26">
        <f>Table24[[#This Row],[LB]]/197</f>
        <v>0.51431472081218266</v>
      </c>
      <c r="E26">
        <f t="shared" si="0"/>
        <v>3.2030456852791767E-2</v>
      </c>
      <c r="F26">
        <f>Table24[[#This Row],[Height]]/2</f>
        <v>1.6015228426395883E-2</v>
      </c>
      <c r="G26">
        <f>MIN($Q$2*ABS((Table24[[#This Row],[Normalised Index]]+$S$5))+$Q$5, $T$1)</f>
        <v>1.6686666666666666E-2</v>
      </c>
      <c r="H26">
        <f>Table24[[#This Row],[index]]/36</f>
        <v>0.66666666666666663</v>
      </c>
      <c r="I26">
        <f t="shared" si="1"/>
        <v>24</v>
      </c>
      <c r="J26">
        <f>ABS(A27-Table24[[#This Row],[LB]])</f>
        <v>0.36000000000001364</v>
      </c>
      <c r="W26" t="s">
        <v>67</v>
      </c>
      <c r="X26">
        <v>1</v>
      </c>
    </row>
    <row r="27" spans="1:24" x14ac:dyDescent="0.2">
      <c r="A27">
        <v>101.68</v>
      </c>
      <c r="B27">
        <v>108.69</v>
      </c>
      <c r="C27">
        <f>Table24[[#This Row],[UB]]/197</f>
        <v>0.5161421319796955</v>
      </c>
      <c r="D27">
        <f>Table24[[#This Row],[LB]]/197</f>
        <v>0.55172588832487313</v>
      </c>
      <c r="E27">
        <f t="shared" si="0"/>
        <v>3.5583756345177631E-2</v>
      </c>
      <c r="F27">
        <f>Table24[[#This Row],[Height]]/2</f>
        <v>1.7791878172588815E-2</v>
      </c>
      <c r="G27">
        <f>MIN($Q$2*ABS((Table24[[#This Row],[Normalised Index]]+$S$5))+$Q$5, $T$1)</f>
        <v>1.8131111111111112E-2</v>
      </c>
      <c r="H27">
        <f>Table24[[#This Row],[index]]/36</f>
        <v>0.69444444444444442</v>
      </c>
      <c r="I27">
        <f t="shared" si="1"/>
        <v>25</v>
      </c>
      <c r="J27">
        <f>ABS(A28-Table24[[#This Row],[LB]])</f>
        <v>7.000000000000739E-2</v>
      </c>
    </row>
    <row r="28" spans="1:24" x14ac:dyDescent="0.2">
      <c r="A28">
        <v>108.76</v>
      </c>
      <c r="B28">
        <v>116.66</v>
      </c>
      <c r="C28">
        <f>Table24[[#This Row],[UB]]/197</f>
        <v>0.55208121827411172</v>
      </c>
      <c r="D28">
        <f>Table24[[#This Row],[LB]]/197</f>
        <v>0.59218274111675129</v>
      </c>
      <c r="E28">
        <f t="shared" si="0"/>
        <v>4.010152284263957E-2</v>
      </c>
      <c r="F28">
        <f>Table24[[#This Row],[Height]]/2</f>
        <v>2.0050761421319785E-2</v>
      </c>
      <c r="G28">
        <f>MIN($Q$2*ABS((Table24[[#This Row],[Normalised Index]]+$S$5))+$Q$5, $T$1)</f>
        <v>1.9575555555555554E-2</v>
      </c>
      <c r="H28">
        <f>Table24[[#This Row],[index]]/36</f>
        <v>0.72222222222222221</v>
      </c>
      <c r="I28">
        <f t="shared" si="1"/>
        <v>26</v>
      </c>
      <c r="J28">
        <f>ABS(A29-Table24[[#This Row],[LB]])</f>
        <v>0</v>
      </c>
    </row>
    <row r="29" spans="1:24" x14ac:dyDescent="0.2">
      <c r="A29">
        <v>116.66</v>
      </c>
      <c r="B29">
        <v>124.57</v>
      </c>
      <c r="C29">
        <f>Table24[[#This Row],[UB]]/197</f>
        <v>0.59218274111675129</v>
      </c>
      <c r="D29">
        <f>Table24[[#This Row],[LB]]/197</f>
        <v>0.63233502538071062</v>
      </c>
      <c r="E29">
        <f t="shared" si="0"/>
        <v>4.0152284263959337E-2</v>
      </c>
      <c r="F29">
        <f>Table24[[#This Row],[Height]]/2</f>
        <v>2.0076142131979668E-2</v>
      </c>
      <c r="G29">
        <f>MIN($Q$2*ABS((Table24[[#This Row],[Normalised Index]]+$S$5))+$Q$5, $T$1)</f>
        <v>0.02</v>
      </c>
      <c r="H29">
        <f>Table24[[#This Row],[index]]/36</f>
        <v>0.75</v>
      </c>
      <c r="I29">
        <f t="shared" si="1"/>
        <v>27</v>
      </c>
      <c r="J29">
        <f>ABS(A30-Table24[[#This Row],[LB]])</f>
        <v>0</v>
      </c>
    </row>
    <row r="30" spans="1:24" x14ac:dyDescent="0.2">
      <c r="A30">
        <v>124.57</v>
      </c>
      <c r="B30">
        <v>132.74</v>
      </c>
      <c r="C30">
        <f>Table24[[#This Row],[UB]]/197</f>
        <v>0.63233502538071062</v>
      </c>
      <c r="D30">
        <f>Table24[[#This Row],[LB]]/197</f>
        <v>0.6738071065989848</v>
      </c>
      <c r="E30">
        <f t="shared" si="0"/>
        <v>4.147208121827417E-2</v>
      </c>
      <c r="F30">
        <f>Table24[[#This Row],[Height]]/2</f>
        <v>2.0736040609137085E-2</v>
      </c>
      <c r="G30">
        <f>MIN($Q$2*ABS((Table24[[#This Row],[Normalised Index]]+$S$5))+$Q$5, $T$1)</f>
        <v>0.02</v>
      </c>
      <c r="H30">
        <f>Table24[[#This Row],[index]]/36</f>
        <v>0.77777777777777779</v>
      </c>
      <c r="I30">
        <f t="shared" si="1"/>
        <v>28</v>
      </c>
      <c r="J30">
        <f>ABS(A31-Table24[[#This Row],[LB]])</f>
        <v>0</v>
      </c>
    </row>
    <row r="31" spans="1:24" x14ac:dyDescent="0.2">
      <c r="A31">
        <v>132.74</v>
      </c>
      <c r="B31">
        <v>140.91999999999999</v>
      </c>
      <c r="C31">
        <f>Table24[[#This Row],[UB]]/197</f>
        <v>0.6738071065989848</v>
      </c>
      <c r="D31">
        <f>Table24[[#This Row],[LB]]/197</f>
        <v>0.71532994923857862</v>
      </c>
      <c r="E31">
        <f t="shared" si="0"/>
        <v>4.1522842639593827E-2</v>
      </c>
      <c r="F31">
        <f>Table24[[#This Row],[Height]]/2</f>
        <v>2.0761421319796913E-2</v>
      </c>
      <c r="G31">
        <f>MIN($Q$2*ABS((Table24[[#This Row],[Normalised Index]]+$S$5))+$Q$5, $T$1)</f>
        <v>0.02</v>
      </c>
      <c r="H31">
        <f>Table24[[#This Row],[index]]/36</f>
        <v>0.80555555555555558</v>
      </c>
      <c r="I31">
        <f t="shared" si="1"/>
        <v>29</v>
      </c>
      <c r="J31">
        <f>ABS(A32-Table24[[#This Row],[LB]])</f>
        <v>0</v>
      </c>
    </row>
    <row r="32" spans="1:24" x14ac:dyDescent="0.2">
      <c r="A32">
        <v>140.91999999999999</v>
      </c>
      <c r="B32">
        <v>148.83000000000001</v>
      </c>
      <c r="C32">
        <f>Table24[[#This Row],[UB]]/197</f>
        <v>0.71532994923857862</v>
      </c>
      <c r="D32">
        <f>Table24[[#This Row],[LB]]/197</f>
        <v>0.75548223350253818</v>
      </c>
      <c r="E32">
        <f t="shared" si="0"/>
        <v>4.0152284263959559E-2</v>
      </c>
      <c r="F32">
        <f>Table24[[#This Row],[Height]]/2</f>
        <v>2.0076142131979779E-2</v>
      </c>
      <c r="G32">
        <f>MIN($Q$2*ABS((Table24[[#This Row],[Normalised Index]]+$S$5))+$Q$5, $T$1)</f>
        <v>0.02</v>
      </c>
      <c r="H32">
        <f>Table24[[#This Row],[index]]/36</f>
        <v>0.83333333333333337</v>
      </c>
      <c r="I32">
        <f t="shared" si="1"/>
        <v>30</v>
      </c>
      <c r="J32">
        <f>ABS(A33-Table24[[#This Row],[LB]])</f>
        <v>0</v>
      </c>
    </row>
    <row r="33" spans="1:10" x14ac:dyDescent="0.2">
      <c r="A33">
        <v>148.83000000000001</v>
      </c>
      <c r="B33">
        <v>156.72999999999999</v>
      </c>
      <c r="C33">
        <f>Table24[[#This Row],[UB]]/197</f>
        <v>0.75548223350253818</v>
      </c>
      <c r="D33">
        <f>Table24[[#This Row],[LB]]/197</f>
        <v>0.79558375634517764</v>
      </c>
      <c r="E33">
        <f t="shared" si="0"/>
        <v>4.0101522842639459E-2</v>
      </c>
      <c r="F33">
        <f>Table24[[#This Row],[Height]]/2</f>
        <v>2.0050761421319729E-2</v>
      </c>
      <c r="G33">
        <f>MIN($Q$2*ABS((Table24[[#This Row],[Normalised Index]]+$S$5))+$Q$5, $T$1)</f>
        <v>0.02</v>
      </c>
      <c r="H33">
        <f>Table24[[#This Row],[index]]/36</f>
        <v>0.86111111111111116</v>
      </c>
      <c r="I33">
        <f t="shared" si="1"/>
        <v>31</v>
      </c>
      <c r="J33">
        <f>ABS(A34-Table24[[#This Row],[LB]])</f>
        <v>0</v>
      </c>
    </row>
    <row r="34" spans="1:10" x14ac:dyDescent="0.2">
      <c r="A34">
        <v>156.72999999999999</v>
      </c>
      <c r="B34">
        <v>164.91</v>
      </c>
      <c r="C34">
        <f>Table24[[#This Row],[UB]]/197</f>
        <v>0.79558375634517764</v>
      </c>
      <c r="D34">
        <f>Table24[[#This Row],[LB]]/197</f>
        <v>0.83710659898477158</v>
      </c>
      <c r="E34">
        <f t="shared" si="0"/>
        <v>4.1522842639593938E-2</v>
      </c>
      <c r="F34">
        <f>Table24[[#This Row],[Height]]/2</f>
        <v>2.0761421319796969E-2</v>
      </c>
      <c r="G34">
        <f>MIN($Q$2*ABS((Table24[[#This Row],[Normalised Index]]+$S$5))+$Q$5, $T$1)</f>
        <v>0.02</v>
      </c>
      <c r="H34">
        <f>Table24[[#This Row],[index]]/36</f>
        <v>0.88888888888888884</v>
      </c>
      <c r="I34">
        <f t="shared" si="1"/>
        <v>32</v>
      </c>
      <c r="J34">
        <f>ABS(A35-Table24[[#This Row],[LB]])</f>
        <v>0</v>
      </c>
    </row>
    <row r="35" spans="1:10" x14ac:dyDescent="0.2">
      <c r="A35">
        <v>164.91</v>
      </c>
      <c r="B35">
        <v>172.81</v>
      </c>
      <c r="C35">
        <f>Table24[[#This Row],[UB]]/197</f>
        <v>0.83710659898477158</v>
      </c>
      <c r="D35">
        <f>Table24[[#This Row],[LB]]/197</f>
        <v>0.87720812182741115</v>
      </c>
      <c r="E35">
        <f t="shared" si="0"/>
        <v>4.010152284263957E-2</v>
      </c>
      <c r="F35">
        <f>Table24[[#This Row],[Height]]/2</f>
        <v>2.0050761421319785E-2</v>
      </c>
      <c r="G35">
        <f>MIN($Q$2*ABS((Table24[[#This Row],[Normalised Index]]+$S$5))+$Q$5, $T$1)</f>
        <v>0.02</v>
      </c>
      <c r="H35">
        <f>Table24[[#This Row],[index]]/36</f>
        <v>0.91666666666666663</v>
      </c>
      <c r="I35">
        <f t="shared" si="1"/>
        <v>33</v>
      </c>
      <c r="J35">
        <f>ABS(A36-Table24[[#This Row],[LB]])</f>
        <v>0</v>
      </c>
    </row>
    <row r="36" spans="1:10" x14ac:dyDescent="0.2">
      <c r="A36">
        <v>172.81</v>
      </c>
      <c r="B36">
        <v>180.72</v>
      </c>
      <c r="C36">
        <f>Table24[[#This Row],[UB]]/197</f>
        <v>0.87720812182741115</v>
      </c>
      <c r="D36">
        <f>Table24[[#This Row],[LB]]/197</f>
        <v>0.91736040609137059</v>
      </c>
      <c r="E36">
        <f t="shared" si="0"/>
        <v>4.0152284263959448E-2</v>
      </c>
      <c r="F36">
        <f>Table24[[#This Row],[Height]]/2</f>
        <v>2.0076142131979724E-2</v>
      </c>
      <c r="G36">
        <f>MIN($Q$2*ABS((Table24[[#This Row],[Normalised Index]]+$S$5))+$Q$5, $T$1)</f>
        <v>0.02</v>
      </c>
      <c r="H36">
        <f>Table24[[#This Row],[index]]/36</f>
        <v>0.94444444444444442</v>
      </c>
      <c r="I36">
        <f t="shared" si="1"/>
        <v>34</v>
      </c>
      <c r="J36">
        <f>ABS(A37-Table24[[#This Row],[LB]])</f>
        <v>0</v>
      </c>
    </row>
    <row r="37" spans="1:10" x14ac:dyDescent="0.2">
      <c r="A37">
        <v>180.72</v>
      </c>
      <c r="B37">
        <v>188.89</v>
      </c>
      <c r="C37">
        <f>Table24[[#This Row],[UB]]/197</f>
        <v>0.91736040609137059</v>
      </c>
      <c r="D37">
        <f>Table24[[#This Row],[LB]]/197</f>
        <v>0.95883248730964465</v>
      </c>
      <c r="E37">
        <f t="shared" si="0"/>
        <v>4.1472081218274059E-2</v>
      </c>
      <c r="F37">
        <f>Table24[[#This Row],[Height]]/2</f>
        <v>2.073604060913703E-2</v>
      </c>
      <c r="G37">
        <f>MIN($Q$2*ABS((Table24[[#This Row],[Normalised Index]]+$S$5))+$Q$5, $T$1)</f>
        <v>0.02</v>
      </c>
      <c r="H37">
        <f>Table24[[#This Row],[index]]/36</f>
        <v>0.97222222222222221</v>
      </c>
      <c r="I37">
        <f t="shared" si="1"/>
        <v>35</v>
      </c>
      <c r="J37">
        <f>ABS(A38-Table24[[#This Row],[LB]])</f>
        <v>0</v>
      </c>
    </row>
    <row r="38" spans="1:10" x14ac:dyDescent="0.2">
      <c r="A38">
        <v>188.89</v>
      </c>
      <c r="B38">
        <v>197</v>
      </c>
      <c r="C38">
        <f>Table24[[#This Row],[UB]]/197</f>
        <v>0.95883248730964465</v>
      </c>
      <c r="D38">
        <f>Table24[[#This Row],[LB]]/197</f>
        <v>1</v>
      </c>
      <c r="E38">
        <f t="shared" si="0"/>
        <v>4.1167512690355346E-2</v>
      </c>
      <c r="F38">
        <f>Table24[[#This Row],[Height]]/2</f>
        <v>2.0583756345177673E-2</v>
      </c>
      <c r="G38">
        <f>MIN($Q$2*ABS((Table24[[#This Row],[Normalised Index]]+$S$5))+$Q$5, $T$1)</f>
        <v>0.02</v>
      </c>
      <c r="H38">
        <f>Table24[[#This Row],[index]]/36</f>
        <v>1</v>
      </c>
      <c r="I38">
        <f t="shared" si="1"/>
        <v>36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3C6E8-C59E-9143-A100-78C007170A2A}">
  <dimension ref="A1:L33"/>
  <sheetViews>
    <sheetView zoomScale="91" zoomScaleNormal="93" workbookViewId="0">
      <selection activeCell="N29" sqref="N29"/>
    </sheetView>
  </sheetViews>
  <sheetFormatPr baseColWidth="10" defaultColWidth="11" defaultRowHeight="16" x14ac:dyDescent="0.2"/>
  <cols>
    <col min="2" max="2" width="18.6640625" customWidth="1"/>
    <col min="3" max="3" width="19.1640625" customWidth="1"/>
    <col min="5" max="5" width="0" hidden="1" customWidth="1"/>
  </cols>
  <sheetData>
    <row r="1" spans="1:12" x14ac:dyDescent="0.2">
      <c r="A1" t="s">
        <v>0</v>
      </c>
      <c r="B1" t="s">
        <v>98</v>
      </c>
      <c r="C1" t="s">
        <v>68</v>
      </c>
      <c r="D1" t="s">
        <v>4</v>
      </c>
      <c r="E1" t="s">
        <v>69</v>
      </c>
      <c r="F1" t="s">
        <v>97</v>
      </c>
      <c r="I1" t="s">
        <v>25</v>
      </c>
      <c r="J1">
        <f>9.52</f>
        <v>9.52</v>
      </c>
      <c r="L1" t="s">
        <v>70</v>
      </c>
    </row>
    <row r="2" spans="1:12" x14ac:dyDescent="0.2">
      <c r="A2">
        <f>Table1[[#This Row],[Index2]]/31</f>
        <v>0</v>
      </c>
      <c r="B2" s="1">
        <f>Table1[[#This Row],[Square boundaries]]/123</f>
        <v>0</v>
      </c>
      <c r="C2" s="1">
        <v>0</v>
      </c>
      <c r="D2" s="1">
        <v>0</v>
      </c>
      <c r="E2" s="1">
        <f>(3.2206*POWER(Table1[[#This Row],[Index]], 3) - 5.4091*POWER(Table1[[#This Row],[Index]], 2) + 3.1979*Table1[[#This Row],[Index]])/1.0094</f>
        <v>0</v>
      </c>
      <c r="F2" s="1">
        <v>0</v>
      </c>
    </row>
    <row r="3" spans="1:12" x14ac:dyDescent="0.2">
      <c r="A3">
        <f>Table1[[#This Row],[Index2]]/31</f>
        <v>3.2258064516129031E-2</v>
      </c>
      <c r="B3" s="1">
        <f>Table1[[#This Row],[Square boundaries]]/123</f>
        <v>8.0894308943089424E-2</v>
      </c>
      <c r="C3" s="1">
        <v>9.9499999999999993</v>
      </c>
      <c r="D3" s="1">
        <f>Table1[[#This Row],[Vertical Line X Position]]-B2</f>
        <v>8.0894308943089424E-2</v>
      </c>
      <c r="E3" s="1">
        <f>(3.2206*POWER(Table1[[#This Row],[Index]], 3) - 5.4091*POWER(Table1[[#This Row],[Index]], 2) + 3.1979*Table1[[#This Row],[Index]])/1.0094</f>
        <v>9.6728308862953222E-2</v>
      </c>
      <c r="F3" s="1">
        <f>F2+1</f>
        <v>1</v>
      </c>
      <c r="L3">
        <f>9.52/123</f>
        <v>7.7398373983739832E-2</v>
      </c>
    </row>
    <row r="4" spans="1:12" x14ac:dyDescent="0.2">
      <c r="A4">
        <f>Table1[[#This Row],[Index2]]/31</f>
        <v>6.4516129032258063E-2</v>
      </c>
      <c r="B4" s="1">
        <f>Table1[[#This Row],[Square boundaries]]/123</f>
        <v>0.16463414634146342</v>
      </c>
      <c r="C4" s="1">
        <v>20.25</v>
      </c>
      <c r="D4" s="1">
        <f>Table1[[#This Row],[Vertical Line X Position]]-B3</f>
        <v>8.3739837398373998E-2</v>
      </c>
      <c r="E4" s="1">
        <f>(3.2206*POWER(Table1[[#This Row],[Index]], 3) - 5.4091*POWER(Table1[[#This Row],[Index]], 2) + 3.1979*Table1[[#This Row],[Index]])/1.0094</f>
        <v>0.18294681665666887</v>
      </c>
      <c r="F4" s="1">
        <f t="shared" ref="F4:F33" si="0">F3+1</f>
        <v>2</v>
      </c>
    </row>
    <row r="5" spans="1:12" x14ac:dyDescent="0.2">
      <c r="A5">
        <f>Table1[[#This Row],[Index2]]/31</f>
        <v>9.6774193548387094E-2</v>
      </c>
      <c r="B5" s="1">
        <f>Table1[[#This Row],[Square boundaries]]/123</f>
        <v>0.24837398373983741</v>
      </c>
      <c r="C5" s="1">
        <v>30.55</v>
      </c>
      <c r="D5" s="1">
        <f>Table1[[#This Row],[Vertical Line X Position]]-B4</f>
        <v>8.3739837398373984E-2</v>
      </c>
      <c r="E5" s="1">
        <f>(3.2206*POWER(Table1[[#This Row],[Index]], 3) - 5.4091*POWER(Table1[[#This Row],[Index]], 2) + 3.1979*Table1[[#This Row],[Index]])/1.0094</f>
        <v>0.25929812180660727</v>
      </c>
      <c r="F5" s="1">
        <f t="shared" si="0"/>
        <v>3</v>
      </c>
    </row>
    <row r="6" spans="1:12" x14ac:dyDescent="0.2">
      <c r="A6">
        <f>Table1[[#This Row],[Index2]]/31</f>
        <v>0.12903225806451613</v>
      </c>
      <c r="B6" s="1">
        <f>Table1[[#This Row],[Square boundaries]]/123</f>
        <v>0.32162601626016263</v>
      </c>
      <c r="C6" s="1">
        <v>39.56</v>
      </c>
      <c r="D6" s="1">
        <f>Table1[[#This Row],[Vertical Line X Position]]-B5</f>
        <v>7.3252032520325222E-2</v>
      </c>
      <c r="E6" s="1">
        <f>(3.2206*POWER(Table1[[#This Row],[Index]], 3) - 5.4091*POWER(Table1[[#This Row],[Index]], 2) + 3.1979*Table1[[#This Row],[Index]])/1.0094</f>
        <v>0.3264248227382287</v>
      </c>
      <c r="F6" s="1">
        <f t="shared" si="0"/>
        <v>4</v>
      </c>
    </row>
    <row r="7" spans="1:12" x14ac:dyDescent="0.2">
      <c r="A7">
        <f>Table1[[#This Row],[Index2]]/31</f>
        <v>0.16129032258064516</v>
      </c>
      <c r="B7" s="1">
        <f>Table1[[#This Row],[Square boundaries]]/123</f>
        <v>0.39008130081300812</v>
      </c>
      <c r="C7" s="1">
        <v>47.98</v>
      </c>
      <c r="D7" s="1">
        <f>Table1[[#This Row],[Vertical Line X Position]]-B6</f>
        <v>6.8455284552845497E-2</v>
      </c>
      <c r="E7" s="1">
        <f>(3.2206*POWER(Table1[[#This Row],[Index]], 3) - 5.4091*POWER(Table1[[#This Row],[Index]], 2) + 3.1979*Table1[[#This Row],[Index]])/1.0094</f>
        <v>0.38496951787699335</v>
      </c>
      <c r="F7" s="1">
        <f t="shared" si="0"/>
        <v>5</v>
      </c>
    </row>
    <row r="8" spans="1:12" x14ac:dyDescent="0.2">
      <c r="A8">
        <f>Table1[[#This Row],[Index2]]/31</f>
        <v>0.19354838709677419</v>
      </c>
      <c r="B8" s="1">
        <f>Table1[[#This Row],[Square boundaries]]/123</f>
        <v>0.4484552845528455</v>
      </c>
      <c r="C8" s="1">
        <v>55.16</v>
      </c>
      <c r="D8" s="1">
        <f>Table1[[#This Row],[Vertical Line X Position]]-B7</f>
        <v>5.8373983739837376E-2</v>
      </c>
      <c r="E8" s="1">
        <f>(3.2206*POWER(Table1[[#This Row],[Index]], 3) - 5.4091*POWER(Table1[[#This Row],[Index]], 2) + 3.1979*Table1[[#This Row],[Index]])/1.0094</f>
        <v>0.4355748056483616</v>
      </c>
      <c r="F8" s="1">
        <f t="shared" si="0"/>
        <v>6</v>
      </c>
    </row>
    <row r="9" spans="1:12" x14ac:dyDescent="0.2">
      <c r="A9">
        <f>Table1[[#This Row],[Index2]]/31</f>
        <v>0.22580645161290322</v>
      </c>
      <c r="B9" s="1">
        <f>Table1[[#This Row],[Square boundaries]]/123</f>
        <v>0.48959349593495932</v>
      </c>
      <c r="C9" s="1">
        <v>60.22</v>
      </c>
      <c r="D9" s="1">
        <f>Table1[[#This Row],[Vertical Line X Position]]-B8</f>
        <v>4.1138211382113821E-2</v>
      </c>
      <c r="E9" s="1">
        <f>(3.2206*POWER(Table1[[#This Row],[Index]], 3) - 5.4091*POWER(Table1[[#This Row],[Index]], 2) + 3.1979*Table1[[#This Row],[Index]])/1.0094</f>
        <v>0.47888328447779355</v>
      </c>
      <c r="F9" s="1">
        <f t="shared" si="0"/>
        <v>7</v>
      </c>
    </row>
    <row r="10" spans="1:12" x14ac:dyDescent="0.2">
      <c r="A10">
        <f>Table1[[#This Row],[Index2]]/31</f>
        <v>0.25806451612903225</v>
      </c>
      <c r="B10" s="1">
        <f>Table1[[#This Row],[Square boundaries]]/123</f>
        <v>0.52024390243902441</v>
      </c>
      <c r="C10" s="1">
        <v>63.99</v>
      </c>
      <c r="D10" s="1">
        <f>Table1[[#This Row],[Vertical Line X Position]]-B9</f>
        <v>3.0650406504065086E-2</v>
      </c>
      <c r="E10" s="1">
        <f>(3.2206*POWER(Table1[[#This Row],[Index]], 3) - 5.4091*POWER(Table1[[#This Row],[Index]], 2) + 3.1979*Table1[[#This Row],[Index]])/1.0094</f>
        <v>0.51553755279074964</v>
      </c>
      <c r="F10" s="1">
        <f t="shared" si="0"/>
        <v>8</v>
      </c>
    </row>
    <row r="11" spans="1:12" x14ac:dyDescent="0.2">
      <c r="A11">
        <f>Table1[[#This Row],[Index2]]/31</f>
        <v>0.29032258064516131</v>
      </c>
      <c r="B11" s="1">
        <f>Table1[[#This Row],[Square boundaries]]/123</f>
        <v>0.54747967479674797</v>
      </c>
      <c r="C11" s="1">
        <v>67.34</v>
      </c>
      <c r="D11" s="1">
        <f>Table1[[#This Row],[Vertical Line X Position]]-B10</f>
        <v>2.7235772357723564E-2</v>
      </c>
      <c r="E11" s="1">
        <f>(3.2206*POWER(Table1[[#This Row],[Index]], 3) - 5.4091*POWER(Table1[[#This Row],[Index]], 2) + 3.1979*Table1[[#This Row],[Index]])/1.0094</f>
        <v>0.54618020901269015</v>
      </c>
      <c r="F11" s="1">
        <f t="shared" si="0"/>
        <v>9</v>
      </c>
    </row>
    <row r="12" spans="1:12" x14ac:dyDescent="0.2">
      <c r="A12">
        <f>Table1[[#This Row],[Index2]]/31</f>
        <v>0.32258064516129031</v>
      </c>
      <c r="B12" s="1">
        <f>Table1[[#This Row],[Square boundaries]]/123</f>
        <v>0.56902439024390239</v>
      </c>
      <c r="C12" s="1">
        <v>69.989999999999995</v>
      </c>
      <c r="D12" s="1">
        <f>Table1[[#This Row],[Vertical Line X Position]]-B11</f>
        <v>2.1544715447154417E-2</v>
      </c>
      <c r="E12" s="1">
        <f>(3.2206*POWER(Table1[[#This Row],[Index]], 3) - 5.4091*POWER(Table1[[#This Row],[Index]], 2) + 3.1979*Table1[[#This Row],[Index]])/1.0094</f>
        <v>0.57145385156907502</v>
      </c>
      <c r="F12" s="1">
        <f t="shared" si="0"/>
        <v>10</v>
      </c>
    </row>
    <row r="13" spans="1:12" x14ac:dyDescent="0.2">
      <c r="A13">
        <f>Table1[[#This Row],[Index2]]/31</f>
        <v>0.35483870967741937</v>
      </c>
      <c r="B13" s="1">
        <f>Table1[[#This Row],[Square boundaries]]/123</f>
        <v>0.58626016260162606</v>
      </c>
      <c r="C13" s="1">
        <v>72.11</v>
      </c>
      <c r="D13" s="1">
        <f>Table1[[#This Row],[Vertical Line X Position]]-B12</f>
        <v>1.7235772357723667E-2</v>
      </c>
      <c r="E13" s="1">
        <f>(3.2206*POWER(Table1[[#This Row],[Index]], 3) - 5.4091*POWER(Table1[[#This Row],[Index]], 2) + 3.1979*Table1[[#This Row],[Index]])/1.0094</f>
        <v>0.59200107888536502</v>
      </c>
      <c r="F13" s="1">
        <f t="shared" si="0"/>
        <v>11</v>
      </c>
    </row>
    <row r="14" spans="1:12" x14ac:dyDescent="0.2">
      <c r="A14">
        <f>Table1[[#This Row],[Index2]]/31</f>
        <v>0.38709677419354838</v>
      </c>
      <c r="B14" s="1">
        <f>Table1[[#This Row],[Square boundaries]]/123</f>
        <v>0.60398373983739839</v>
      </c>
      <c r="C14" s="1">
        <v>74.290000000000006</v>
      </c>
      <c r="D14" s="1">
        <f>Table1[[#This Row],[Vertical Line X Position]]-B13</f>
        <v>1.7723577235772336E-2</v>
      </c>
      <c r="E14" s="1">
        <f>(3.2206*POWER(Table1[[#This Row],[Index]], 3) - 5.4091*POWER(Table1[[#This Row],[Index]], 2) + 3.1979*Table1[[#This Row],[Index]])/1.0094</f>
        <v>0.60846448938702002</v>
      </c>
      <c r="F14" s="1">
        <f t="shared" si="0"/>
        <v>12</v>
      </c>
    </row>
    <row r="15" spans="1:12" x14ac:dyDescent="0.2">
      <c r="A15">
        <f>Table1[[#This Row],[Index2]]/31</f>
        <v>0.41935483870967744</v>
      </c>
      <c r="B15" s="1">
        <f>Table1[[#This Row],[Square boundaries]]/123</f>
        <v>0.61642276422764219</v>
      </c>
      <c r="C15" s="1">
        <v>75.819999999999993</v>
      </c>
      <c r="D15" s="1">
        <f>Table1[[#This Row],[Vertical Line X Position]]-B14</f>
        <v>1.2439024390243802E-2</v>
      </c>
      <c r="E15" s="1">
        <f>(3.2206*POWER(Table1[[#This Row],[Index]], 3) - 5.4091*POWER(Table1[[#This Row],[Index]], 2) + 3.1979*Table1[[#This Row],[Index]])/1.0094</f>
        <v>0.62148668149950037</v>
      </c>
      <c r="F15" s="1">
        <f t="shared" si="0"/>
        <v>13</v>
      </c>
    </row>
    <row r="16" spans="1:12" x14ac:dyDescent="0.2">
      <c r="A16">
        <f>Table1[[#This Row],[Index2]]/31</f>
        <v>0.45161290322580644</v>
      </c>
      <c r="B16" s="1">
        <f>Table1[[#This Row],[Square boundaries]]/123</f>
        <v>0.62699186991869926</v>
      </c>
      <c r="C16" s="1">
        <v>77.12</v>
      </c>
      <c r="D16" s="1">
        <f>Table1[[#This Row],[Vertical Line X Position]]-B15</f>
        <v>1.0569105691057068E-2</v>
      </c>
      <c r="E16" s="1">
        <f>(3.2206*POWER(Table1[[#This Row],[Index]], 3) - 5.4091*POWER(Table1[[#This Row],[Index]], 2) + 3.1979*Table1[[#This Row],[Index]])/1.0094</f>
        <v>0.63171025364826661</v>
      </c>
      <c r="F16" s="1">
        <f t="shared" si="0"/>
        <v>14</v>
      </c>
    </row>
    <row r="17" spans="1:6" x14ac:dyDescent="0.2">
      <c r="A17">
        <f>Table1[[#This Row],[Index2]]/31</f>
        <v>0.4838709677419355</v>
      </c>
      <c r="B17" s="1">
        <f>Table1[[#This Row],[Square boundaries]]/123</f>
        <v>0.63601626016260171</v>
      </c>
      <c r="C17" s="1">
        <v>78.23</v>
      </c>
      <c r="D17" s="1">
        <f>Table1[[#This Row],[Vertical Line X Position]]-B16</f>
        <v>9.024390243902447E-3</v>
      </c>
      <c r="E17" s="1">
        <f>(3.2206*POWER(Table1[[#This Row],[Index]], 3) - 5.4091*POWER(Table1[[#This Row],[Index]], 2) + 3.1979*Table1[[#This Row],[Index]])/1.0094</f>
        <v>0.6397778042587785</v>
      </c>
      <c r="F17" s="1">
        <f t="shared" si="0"/>
        <v>15</v>
      </c>
    </row>
    <row r="18" spans="1:6" x14ac:dyDescent="0.2">
      <c r="A18">
        <f>Table1[[#This Row],[Index2]]/31</f>
        <v>0.5161290322580645</v>
      </c>
      <c r="B18" s="1">
        <f>Table1[[#This Row],[Square boundaries]]/123</f>
        <v>0.64276422764227648</v>
      </c>
      <c r="C18" s="1">
        <v>79.06</v>
      </c>
      <c r="D18" s="1">
        <f>Table1[[#This Row],[Vertical Line X Position]]-B17</f>
        <v>6.7479674796747657E-3</v>
      </c>
      <c r="E18" s="1">
        <f>(3.2206*POWER(Table1[[#This Row],[Index]], 3) - 5.4091*POWER(Table1[[#This Row],[Index]], 2) + 3.1979*Table1[[#This Row],[Index]])/1.0094</f>
        <v>0.64633193175649717</v>
      </c>
      <c r="F18" s="1">
        <f t="shared" si="0"/>
        <v>16</v>
      </c>
    </row>
    <row r="19" spans="1:6" x14ac:dyDescent="0.2">
      <c r="A19">
        <f>Table1[[#This Row],[Index2]]/31</f>
        <v>0.54838709677419351</v>
      </c>
      <c r="B19" s="1">
        <f>Table1[[#This Row],[Square boundaries]]/123</f>
        <v>0.64845528455284562</v>
      </c>
      <c r="C19" s="1">
        <v>79.760000000000005</v>
      </c>
      <c r="D19" s="1">
        <f>Table1[[#This Row],[Vertical Line X Position]]-B18</f>
        <v>5.6910569105691478E-3</v>
      </c>
      <c r="E19" s="1">
        <f>(3.2206*POWER(Table1[[#This Row],[Index]], 3) - 5.4091*POWER(Table1[[#This Row],[Index]], 2) + 3.1979*Table1[[#This Row],[Index]])/1.0094</f>
        <v>0.65201523456688171</v>
      </c>
      <c r="F19" s="1">
        <f t="shared" si="0"/>
        <v>17</v>
      </c>
    </row>
    <row r="20" spans="1:6" x14ac:dyDescent="0.2">
      <c r="A20">
        <f>Table1[[#This Row],[Index2]]/31</f>
        <v>0.58064516129032262</v>
      </c>
      <c r="B20" s="1">
        <f>Table1[[#This Row],[Square boundaries]]/123</f>
        <v>0.65276422764227648</v>
      </c>
      <c r="C20" s="1">
        <v>80.290000000000006</v>
      </c>
      <c r="D20" s="1">
        <f>Table1[[#This Row],[Vertical Line X Position]]-B19</f>
        <v>4.3089430894308611E-3</v>
      </c>
      <c r="E20" s="1">
        <f>(3.2206*POWER(Table1[[#This Row],[Index]], 3) - 5.4091*POWER(Table1[[#This Row],[Index]], 2) + 3.1979*Table1[[#This Row],[Index]])/1.0094</f>
        <v>0.65747031111539345</v>
      </c>
      <c r="F20" s="1">
        <f t="shared" si="0"/>
        <v>18</v>
      </c>
    </row>
    <row r="21" spans="1:6" x14ac:dyDescent="0.2">
      <c r="A21">
        <f>Table1[[#This Row],[Index2]]/31</f>
        <v>0.61290322580645162</v>
      </c>
      <c r="B21" s="1">
        <f>Table1[[#This Row],[Square boundaries]]/123</f>
        <v>0.65951219512195125</v>
      </c>
      <c r="C21" s="1">
        <v>81.12</v>
      </c>
      <c r="D21" s="1">
        <f>Table1[[#This Row],[Vertical Line X Position]]-B20</f>
        <v>6.7479674796747657E-3</v>
      </c>
      <c r="E21" s="1">
        <f>(3.2206*POWER(Table1[[#This Row],[Index]], 3) - 5.4091*POWER(Table1[[#This Row],[Index]], 2) + 3.1979*Table1[[#This Row],[Index]])/1.0094</f>
        <v>0.66333975982749216</v>
      </c>
      <c r="F21" s="1">
        <f t="shared" si="0"/>
        <v>19</v>
      </c>
    </row>
    <row r="22" spans="1:6" x14ac:dyDescent="0.2">
      <c r="A22">
        <f>Table1[[#This Row],[Index2]]/31</f>
        <v>0.64516129032258063</v>
      </c>
      <c r="B22" s="1">
        <f>Table1[[#This Row],[Square boundaries]]/123</f>
        <v>0.66861788617886175</v>
      </c>
      <c r="C22" s="1">
        <v>82.24</v>
      </c>
      <c r="D22" s="1">
        <f>Table1[[#This Row],[Vertical Line X Position]]-B21</f>
        <v>9.1056910569105032E-3</v>
      </c>
      <c r="E22" s="1">
        <f>(3.2206*POWER(Table1[[#This Row],[Index]], 3) - 5.4091*POWER(Table1[[#This Row],[Index]], 2) + 3.1979*Table1[[#This Row],[Index]])/1.0094</f>
        <v>0.67026617912863762</v>
      </c>
      <c r="F22" s="1">
        <f t="shared" si="0"/>
        <v>20</v>
      </c>
    </row>
    <row r="23" spans="1:6" x14ac:dyDescent="0.2">
      <c r="A23">
        <f>Table1[[#This Row],[Index2]]/31</f>
        <v>0.67741935483870963</v>
      </c>
      <c r="B23" s="1">
        <f>Table1[[#This Row],[Square boundaries]]/123</f>
        <v>0.68056910569105689</v>
      </c>
      <c r="C23" s="1">
        <v>83.71</v>
      </c>
      <c r="D23" s="1">
        <f>Table1[[#This Row],[Vertical Line X Position]]-B22</f>
        <v>1.1951219512195133E-2</v>
      </c>
      <c r="E23" s="1">
        <f>(3.2206*POWER(Table1[[#This Row],[Index]], 3) - 5.4091*POWER(Table1[[#This Row],[Index]], 2) + 3.1979*Table1[[#This Row],[Index]])/1.0094</f>
        <v>0.67889216744429148</v>
      </c>
      <c r="F23" s="1">
        <f t="shared" si="0"/>
        <v>21</v>
      </c>
    </row>
    <row r="24" spans="1:6" x14ac:dyDescent="0.2">
      <c r="A24">
        <f>Table1[[#This Row],[Index2]]/31</f>
        <v>0.70967741935483875</v>
      </c>
      <c r="B24" s="1">
        <f>Table1[[#This Row],[Square boundaries]]/123</f>
        <v>0.69252032520325213</v>
      </c>
      <c r="C24" s="1">
        <v>85.18</v>
      </c>
      <c r="D24" s="1">
        <f>Table1[[#This Row],[Vertical Line X Position]]-B23</f>
        <v>1.1951219512195244E-2</v>
      </c>
      <c r="E24" s="1">
        <f>(3.2206*POWER(Table1[[#This Row],[Index]], 3) - 5.4091*POWER(Table1[[#This Row],[Index]], 2) + 3.1979*Table1[[#This Row],[Index]])/1.0094</f>
        <v>0.68986032319991253</v>
      </c>
      <c r="F24" s="1">
        <f t="shared" si="0"/>
        <v>22</v>
      </c>
    </row>
    <row r="25" spans="1:6" x14ac:dyDescent="0.2">
      <c r="A25">
        <f>Table1[[#This Row],[Index2]]/31</f>
        <v>0.74193548387096775</v>
      </c>
      <c r="B25" s="1">
        <f>Table1[[#This Row],[Square boundaries]]/123</f>
        <v>0.70878048780487812</v>
      </c>
      <c r="C25" s="1">
        <v>87.18</v>
      </c>
      <c r="D25" s="1">
        <f>Table1[[#This Row],[Vertical Line X Position]]-B24</f>
        <v>1.6260162601625994E-2</v>
      </c>
      <c r="E25" s="1">
        <f>(3.2206*POWER(Table1[[#This Row],[Index]], 3) - 5.4091*POWER(Table1[[#This Row],[Index]], 2) + 3.1979*Table1[[#This Row],[Index]])/1.0094</f>
        <v>0.70381324482096197</v>
      </c>
      <c r="F25" s="1">
        <f t="shared" si="0"/>
        <v>23</v>
      </c>
    </row>
    <row r="26" spans="1:6" x14ac:dyDescent="0.2">
      <c r="A26">
        <f>Table1[[#This Row],[Index2]]/31</f>
        <v>0.77419354838709675</v>
      </c>
      <c r="B26" s="1">
        <f>Table1[[#This Row],[Square boundaries]]/123</f>
        <v>0.72699186991869924</v>
      </c>
      <c r="C26" s="1">
        <v>89.42</v>
      </c>
      <c r="D26" s="1">
        <f>Table1[[#This Row],[Vertical Line X Position]]-B25</f>
        <v>1.8211382113821117E-2</v>
      </c>
      <c r="E26" s="1">
        <f>(3.2206*POWER(Table1[[#This Row],[Index]], 3) - 5.4091*POWER(Table1[[#This Row],[Index]], 2) + 3.1979*Table1[[#This Row],[Index]])/1.0094</f>
        <v>0.72139353073289947</v>
      </c>
      <c r="F26" s="1">
        <f t="shared" si="0"/>
        <v>24</v>
      </c>
    </row>
    <row r="27" spans="1:6" x14ac:dyDescent="0.2">
      <c r="A27">
        <f>Table1[[#This Row],[Index2]]/31</f>
        <v>0.80645161290322576</v>
      </c>
      <c r="B27" s="1">
        <f>Table1[[#This Row],[Square boundaries]]/123</f>
        <v>0.7475609756097561</v>
      </c>
      <c r="C27" s="1">
        <v>91.95</v>
      </c>
      <c r="D27" s="1">
        <f>Table1[[#This Row],[Vertical Line X Position]]-B26</f>
        <v>2.0569105691056855E-2</v>
      </c>
      <c r="E27" s="1">
        <f>(3.2206*POWER(Table1[[#This Row],[Index]], 3) - 5.4091*POWER(Table1[[#This Row],[Index]], 2) + 3.1979*Table1[[#This Row],[Index]])/1.0094</f>
        <v>0.74324377936118635</v>
      </c>
      <c r="F27" s="1">
        <f t="shared" si="0"/>
        <v>25</v>
      </c>
    </row>
    <row r="28" spans="1:6" x14ac:dyDescent="0.2">
      <c r="A28">
        <f>Table1[[#This Row],[Index2]]/31</f>
        <v>0.83870967741935487</v>
      </c>
      <c r="B28" s="1">
        <f>Table1[[#This Row],[Square boundaries]]/123</f>
        <v>0.77341463414634137</v>
      </c>
      <c r="C28" s="1">
        <v>95.13</v>
      </c>
      <c r="D28" s="1">
        <f>Table1[[#This Row],[Vertical Line X Position]]-B27</f>
        <v>2.5853658536585278E-2</v>
      </c>
      <c r="E28" s="1">
        <f>(3.2206*POWER(Table1[[#This Row],[Index]], 3) - 5.4091*POWER(Table1[[#This Row],[Index]], 2) + 3.1979*Table1[[#This Row],[Index]])/1.0094</f>
        <v>0.77000658913128106</v>
      </c>
      <c r="F28" s="1">
        <f t="shared" si="0"/>
        <v>26</v>
      </c>
    </row>
    <row r="29" spans="1:6" x14ac:dyDescent="0.2">
      <c r="A29">
        <f>Table1[[#This Row],[Index2]]/31</f>
        <v>0.87096774193548387</v>
      </c>
      <c r="B29" s="1">
        <f>Table1[[#This Row],[Square boundaries]]/123</f>
        <v>0.80593495934959347</v>
      </c>
      <c r="C29" s="1">
        <v>99.13</v>
      </c>
      <c r="D29" s="1">
        <f>Table1[[#This Row],[Vertical Line X Position]]-B28</f>
        <v>3.2520325203252098E-2</v>
      </c>
      <c r="E29" s="1">
        <f>(3.2206*POWER(Table1[[#This Row],[Index]], 3) - 5.4091*POWER(Table1[[#This Row],[Index]], 2) + 3.1979*Table1[[#This Row],[Index]])/1.0094</f>
        <v>0.80232455846864548</v>
      </c>
      <c r="F29" s="1">
        <f t="shared" si="0"/>
        <v>27</v>
      </c>
    </row>
    <row r="30" spans="1:6" x14ac:dyDescent="0.2">
      <c r="A30">
        <f>Table1[[#This Row],[Index2]]/31</f>
        <v>0.90322580645161288</v>
      </c>
      <c r="B30" s="1">
        <f>Table1[[#This Row],[Square boundaries]]/123</f>
        <v>0.84235772357723582</v>
      </c>
      <c r="C30" s="1">
        <v>103.61</v>
      </c>
      <c r="D30" s="1">
        <f>Table1[[#This Row],[Vertical Line X Position]]-B29</f>
        <v>3.6422764227642346E-2</v>
      </c>
      <c r="E30" s="1">
        <f>(3.2206*POWER(Table1[[#This Row],[Index]], 3) - 5.4091*POWER(Table1[[#This Row],[Index]], 2) + 3.1979*Table1[[#This Row],[Index]])/1.0094</f>
        <v>0.84084028579873971</v>
      </c>
      <c r="F30" s="1">
        <f t="shared" si="0"/>
        <v>28</v>
      </c>
    </row>
    <row r="31" spans="1:6" x14ac:dyDescent="0.2">
      <c r="A31">
        <f>Table1[[#This Row],[Index2]]/31</f>
        <v>0.93548387096774188</v>
      </c>
      <c r="B31" s="1">
        <f>Table1[[#This Row],[Square boundaries]]/123</f>
        <v>0.88349593495934964</v>
      </c>
      <c r="C31" s="1">
        <v>108.67</v>
      </c>
      <c r="D31" s="1">
        <f>Table1[[#This Row],[Vertical Line X Position]]-B30</f>
        <v>4.1138211382113821E-2</v>
      </c>
      <c r="E31" s="1">
        <f>(3.2206*POWER(Table1[[#This Row],[Index]], 3) - 5.4091*POWER(Table1[[#This Row],[Index]], 2) + 3.1979*Table1[[#This Row],[Index]])/1.0094</f>
        <v>0.88619636954702286</v>
      </c>
      <c r="F31" s="1">
        <f t="shared" si="0"/>
        <v>29</v>
      </c>
    </row>
    <row r="32" spans="1:6" x14ac:dyDescent="0.2">
      <c r="A32">
        <f>Table1[[#This Row],[Index2]]/31</f>
        <v>0.967741935483871</v>
      </c>
      <c r="B32" s="1">
        <f>Table1[[#This Row],[Square boundaries]]/123</f>
        <v>0.93658536585365859</v>
      </c>
      <c r="C32" s="1">
        <v>115.2</v>
      </c>
      <c r="D32" s="1">
        <f>Table1[[#This Row],[Vertical Line X Position]]-B31</f>
        <v>5.3089430894308953E-2</v>
      </c>
      <c r="E32" s="1">
        <f>(3.2206*POWER(Table1[[#This Row],[Index]], 3) - 5.4091*POWER(Table1[[#This Row],[Index]], 2) + 3.1979*Table1[[#This Row],[Index]])/1.0094</f>
        <v>0.93903540813895647</v>
      </c>
      <c r="F32" s="1">
        <f t="shared" si="0"/>
        <v>30</v>
      </c>
    </row>
    <row r="33" spans="1:6" x14ac:dyDescent="0.2">
      <c r="A33">
        <f>Table1[[#This Row],[Index2]]/31</f>
        <v>1</v>
      </c>
      <c r="B33" s="1">
        <f>Table1[[#This Row],[Square boundaries]]/123</f>
        <v>1</v>
      </c>
      <c r="C33" s="1">
        <v>123</v>
      </c>
      <c r="D33" s="1">
        <f>Table1[[#This Row],[Vertical Line X Position]]-B32</f>
        <v>6.3414634146341409E-2</v>
      </c>
      <c r="E33" s="1">
        <f>(3.2206*POWER(Table1[[#This Row],[Index]], 3) - 5.4091*POWER(Table1[[#This Row],[Index]], 2) + 3.1979*Table1[[#This Row],[Index]])/1.0094</f>
        <v>1.0000000000000007</v>
      </c>
      <c r="F33" s="1">
        <f t="shared" si="0"/>
        <v>31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Cantus Firmus</vt:lpstr>
      <vt:lpstr>Current</vt:lpstr>
      <vt:lpstr>Straight curve</vt:lpstr>
      <vt:lpstr>Blaze</vt:lpstr>
      <vt:lpstr>Arrest 2</vt:lpstr>
      <vt:lpstr>Hesitate</vt:lpstr>
      <vt:lpstr>Movement In Squares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Symes, Hetty</dc:creator>
  <cp:keywords/>
  <dc:description/>
  <cp:lastModifiedBy>Symes, Hetty</cp:lastModifiedBy>
  <cp:revision/>
  <dcterms:created xsi:type="dcterms:W3CDTF">2025-01-04T14:27:17Z</dcterms:created>
  <dcterms:modified xsi:type="dcterms:W3CDTF">2025-05-20T21:41:03Z</dcterms:modified>
  <cp:category/>
  <cp:contentStatus/>
</cp:coreProperties>
</file>